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Denne_projektmappe" defaultThemeVersion="124226"/>
  <mc:AlternateContent xmlns:mc="http://schemas.openxmlformats.org/markup-compatibility/2006">
    <mc:Choice Requires="x15">
      <x15ac:absPath xmlns:x15ac="http://schemas.microsoft.com/office/spreadsheetml/2010/11/ac" url="G:\Mit drev\Slagelse beregner\"/>
    </mc:Choice>
  </mc:AlternateContent>
  <xr:revisionPtr revIDLastSave="0" documentId="8_{4EF740A2-0CA7-46BC-9647-3FA05D045F1E}" xr6:coauthVersionLast="45" xr6:coauthVersionMax="45" xr10:uidLastSave="{00000000-0000-0000-0000-000000000000}"/>
  <workbookProtection workbookAlgorithmName="SHA-512" workbookHashValue="F3e6AcK0yCvyNEegdbLsDbS9ndA01Ni4HtFuYSWsYFo41TVy2Om/JbZERYZ3kkbGP+gO9xrFh/w2HVpgTAtHog==" workbookSaltValue="s2THZwkERmik4FyQ9Niahg==" workbookSpinCount="100000" lockStructure="1"/>
  <bookViews>
    <workbookView xWindow="28680" yWindow="-120" windowWidth="29040" windowHeight="15840" tabRatio="793" xr2:uid="{00000000-000D-0000-FFFF-FFFF00000000}"/>
  </bookViews>
  <sheets>
    <sheet name="Index" sheetId="14" r:id="rId1"/>
    <sheet name="Beregn stx" sheetId="15" r:id="rId2"/>
    <sheet name="Grafik stx" sheetId="17" r:id="rId3"/>
    <sheet name="Data stx" sheetId="16" state="hidden" r:id="rId4"/>
    <sheet name="Beregn HF" sheetId="25" r:id="rId5"/>
    <sheet name="Data HF" sheetId="26" state="hidden" r:id="rId6"/>
    <sheet name="Grafik HF" sheetId="27" r:id="rId7"/>
  </sheets>
  <definedNames>
    <definedName name="Adgangskortet">'Beregn HF'!$N$24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5" i="16" l="1"/>
  <c r="I65" i="16" l="1"/>
  <c r="I16" i="15" l="1"/>
  <c r="J15" i="15" l="1"/>
  <c r="H29" i="16" l="1"/>
  <c r="F23" i="15"/>
  <c r="I169" i="16"/>
  <c r="F21" i="15" l="1"/>
  <c r="H194" i="16" l="1"/>
  <c r="I194" i="16"/>
  <c r="A203" i="16" l="1"/>
  <c r="A204" i="16"/>
  <c r="A205" i="16"/>
  <c r="A202" i="16"/>
  <c r="A201" i="16"/>
  <c r="A200" i="16"/>
  <c r="A199" i="16"/>
  <c r="I180" i="16" l="1"/>
  <c r="I179" i="16"/>
  <c r="I178" i="16"/>
  <c r="I177" i="16"/>
  <c r="I176" i="16"/>
  <c r="I173" i="16"/>
  <c r="I171" i="16"/>
  <c r="I172" i="16"/>
  <c r="I170" i="16"/>
  <c r="I168" i="16"/>
  <c r="I167" i="16"/>
  <c r="I166" i="16"/>
  <c r="I165" i="16"/>
  <c r="I164" i="16"/>
  <c r="J112" i="16" l="1"/>
  <c r="I115" i="16" l="1"/>
  <c r="I155" i="16" s="1"/>
  <c r="I116" i="16"/>
  <c r="I156" i="16" s="1"/>
  <c r="I117" i="16"/>
  <c r="I157" i="16" s="1"/>
  <c r="I118" i="16"/>
  <c r="I158" i="16" s="1"/>
  <c r="I121" i="16"/>
  <c r="I160" i="16" s="1"/>
  <c r="I122" i="16"/>
  <c r="I161" i="16" s="1"/>
  <c r="I124" i="16"/>
  <c r="I162" i="16" s="1"/>
  <c r="I125" i="16"/>
  <c r="I163" i="16" s="1"/>
  <c r="I114" i="16"/>
  <c r="I154" i="16" s="1"/>
  <c r="A114" i="16"/>
  <c r="A42" i="16" l="1"/>
  <c r="F101" i="16" l="1"/>
  <c r="A84" i="16"/>
  <c r="K20" i="16"/>
  <c r="J59" i="16"/>
  <c r="J60" i="16"/>
  <c r="H21" i="16" l="1"/>
  <c r="G61" i="16" l="1"/>
  <c r="H61" i="16" s="1"/>
  <c r="I63" i="16"/>
  <c r="I90" i="16" s="1"/>
  <c r="I64" i="16"/>
  <c r="I66" i="16"/>
  <c r="I67" i="16"/>
  <c r="I69" i="16"/>
  <c r="I70" i="16"/>
  <c r="I71" i="16"/>
  <c r="I62" i="16"/>
  <c r="I98" i="16" s="1"/>
  <c r="I123" i="16" l="1"/>
  <c r="I105" i="16"/>
  <c r="I94" i="16"/>
  <c r="I119" i="16"/>
  <c r="I100" i="16"/>
  <c r="M8" i="17"/>
  <c r="B197" i="16"/>
  <c r="C197" i="16"/>
  <c r="B198" i="16"/>
  <c r="C198" i="16"/>
  <c r="B199" i="16"/>
  <c r="C199" i="16"/>
  <c r="B201" i="16"/>
  <c r="C201" i="16"/>
  <c r="B202" i="16"/>
  <c r="C202" i="16"/>
  <c r="B203" i="16"/>
  <c r="C203" i="16"/>
  <c r="B204" i="16"/>
  <c r="C204" i="16"/>
  <c r="B205" i="16"/>
  <c r="C205" i="16"/>
  <c r="A198" i="16"/>
  <c r="A197" i="16"/>
  <c r="E205" i="16" l="1"/>
  <c r="E204" i="16"/>
  <c r="E203" i="16"/>
  <c r="E202" i="16"/>
  <c r="E201" i="16"/>
  <c r="E199" i="16"/>
  <c r="E198" i="16"/>
  <c r="E197" i="16"/>
  <c r="H22" i="16" l="1"/>
  <c r="H7" i="15" l="1"/>
  <c r="C200" i="16" l="1"/>
  <c r="G7" i="15"/>
  <c r="P27" i="16"/>
  <c r="P28" i="16"/>
  <c r="P29" i="16"/>
  <c r="P24" i="16"/>
  <c r="P25" i="16"/>
  <c r="P26" i="16"/>
  <c r="G49" i="16"/>
  <c r="H49" i="16" s="1"/>
  <c r="P22" i="16"/>
  <c r="P23" i="16"/>
  <c r="B200" i="16" l="1"/>
  <c r="E200" i="16" s="1"/>
  <c r="H8" i="27"/>
  <c r="P8" i="27"/>
  <c r="O8" i="27"/>
  <c r="A134" i="26"/>
  <c r="A135" i="26"/>
  <c r="A136" i="26"/>
  <c r="A138" i="26"/>
  <c r="A139" i="26"/>
  <c r="A140" i="26"/>
  <c r="A141" i="26"/>
  <c r="A133" i="26"/>
  <c r="B134" i="26"/>
  <c r="B135" i="26"/>
  <c r="B136" i="26"/>
  <c r="B137" i="26"/>
  <c r="B138" i="26"/>
  <c r="B139" i="26"/>
  <c r="B140" i="26"/>
  <c r="B141" i="26"/>
  <c r="B133" i="26"/>
  <c r="Q8" i="17"/>
  <c r="P9" i="27"/>
  <c r="O9" i="27"/>
  <c r="N9" i="27"/>
  <c r="M9" i="27"/>
  <c r="N8" i="27"/>
  <c r="M8" i="27"/>
  <c r="L8" i="27"/>
  <c r="K8" i="27"/>
  <c r="L9" i="27"/>
  <c r="K9" i="27"/>
  <c r="J9" i="27"/>
  <c r="J8" i="27"/>
  <c r="I8" i="27"/>
  <c r="I9" i="27"/>
  <c r="H9" i="27"/>
  <c r="L16" i="26" l="1"/>
  <c r="L17" i="26"/>
  <c r="L18" i="26"/>
  <c r="L19" i="26"/>
  <c r="L20" i="26"/>
  <c r="L21" i="26"/>
  <c r="L22" i="26"/>
  <c r="L23" i="26"/>
  <c r="L24" i="26"/>
  <c r="L25" i="26"/>
  <c r="L26" i="26"/>
  <c r="L27" i="26"/>
  <c r="L28" i="26"/>
  <c r="L29" i="26"/>
  <c r="L30" i="26"/>
  <c r="L31" i="26"/>
  <c r="L32" i="26"/>
  <c r="L33" i="26"/>
  <c r="L34" i="26"/>
  <c r="L35" i="26"/>
  <c r="L36" i="26"/>
  <c r="L37" i="26"/>
  <c r="L38" i="26"/>
  <c r="L39" i="26"/>
  <c r="L40" i="26"/>
  <c r="L15" i="26"/>
  <c r="B19" i="25"/>
  <c r="N24" i="25"/>
  <c r="F91" i="26"/>
  <c r="F87" i="26"/>
  <c r="I83" i="26"/>
  <c r="I89" i="26"/>
  <c r="I90" i="26"/>
  <c r="A84" i="26"/>
  <c r="A66" i="26"/>
  <c r="A50" i="26"/>
  <c r="N8" i="25"/>
  <c r="A43" i="26"/>
  <c r="A5" i="26"/>
  <c r="C141" i="26"/>
  <c r="E141" i="26"/>
  <c r="C140" i="26"/>
  <c r="E140" i="26"/>
  <c r="C139" i="26"/>
  <c r="E139" i="26"/>
  <c r="C138" i="26"/>
  <c r="E138" i="26"/>
  <c r="C137" i="26"/>
  <c r="E137" i="26"/>
  <c r="C136" i="26"/>
  <c r="E136" i="26"/>
  <c r="C135" i="26"/>
  <c r="E135" i="26"/>
  <c r="C134" i="26"/>
  <c r="E134" i="26"/>
  <c r="C133" i="26"/>
  <c r="E133" i="26"/>
  <c r="I113" i="26"/>
  <c r="I112" i="26"/>
  <c r="I110" i="26"/>
  <c r="F105" i="26"/>
  <c r="G105" i="26" s="1"/>
  <c r="H105" i="26" s="1"/>
  <c r="F102" i="26"/>
  <c r="G102" i="26" s="1"/>
  <c r="H102" i="26" s="1"/>
  <c r="G100" i="26"/>
  <c r="H100" i="26" s="1"/>
  <c r="I85" i="26"/>
  <c r="G82" i="26"/>
  <c r="H82" i="26" s="1"/>
  <c r="I73" i="26"/>
  <c r="G65" i="26"/>
  <c r="G49" i="26"/>
  <c r="H49" i="26" s="1"/>
  <c r="G42" i="26"/>
  <c r="H42" i="26" s="1"/>
  <c r="C126" i="26"/>
  <c r="A126" i="26"/>
  <c r="N5" i="25"/>
  <c r="P21" i="16"/>
  <c r="F93" i="26" l="1"/>
  <c r="F55" i="26"/>
  <c r="F62" i="26"/>
  <c r="G62" i="26" s="1"/>
  <c r="H62" i="26" s="1"/>
  <c r="F54" i="26"/>
  <c r="F57" i="26"/>
  <c r="F50" i="26"/>
  <c r="F58" i="26"/>
  <c r="B11" i="25"/>
  <c r="A16" i="26" s="1"/>
  <c r="D9" i="27" s="1"/>
  <c r="F94" i="26"/>
  <c r="G94" i="26" s="1"/>
  <c r="H94" i="26" s="1"/>
  <c r="F88" i="26"/>
  <c r="F92" i="26"/>
  <c r="G92" i="26" s="1"/>
  <c r="H92" i="26" s="1"/>
  <c r="F84" i="26"/>
  <c r="G84" i="26" s="1"/>
  <c r="H84" i="26" s="1"/>
  <c r="B24" i="25"/>
  <c r="B23" i="25"/>
  <c r="C22" i="25"/>
  <c r="B25" i="25"/>
  <c r="F45" i="26"/>
  <c r="G45" i="26" s="1"/>
  <c r="H45" i="26" s="1"/>
  <c r="F43" i="26"/>
  <c r="G43" i="26" s="1"/>
  <c r="H43" i="26" s="1"/>
  <c r="F44" i="26"/>
  <c r="G44" i="26" s="1"/>
  <c r="H44" i="26" s="1"/>
  <c r="F47" i="26"/>
  <c r="G47" i="26" s="1"/>
  <c r="H47" i="26" s="1"/>
  <c r="F46" i="26"/>
  <c r="G46" i="26" s="1"/>
  <c r="H46" i="26" s="1"/>
  <c r="A6" i="26"/>
  <c r="D11" i="25"/>
  <c r="C16" i="26" s="1"/>
  <c r="C11" i="25"/>
  <c r="B16" i="26" s="1"/>
  <c r="D8" i="27" s="1"/>
  <c r="C10" i="25"/>
  <c r="B15" i="26" s="1"/>
  <c r="C8" i="27" s="1"/>
  <c r="D10" i="25"/>
  <c r="C15" i="26" s="1"/>
  <c r="F109" i="26"/>
  <c r="G109" i="26" s="1"/>
  <c r="H109" i="26" s="1"/>
  <c r="B10" i="25"/>
  <c r="A15" i="26" s="1"/>
  <c r="B121" i="26"/>
  <c r="F110" i="26"/>
  <c r="G110" i="26" s="1"/>
  <c r="H110" i="26" s="1"/>
  <c r="G87" i="26"/>
  <c r="H87" i="26" s="1"/>
  <c r="F106" i="26"/>
  <c r="G106" i="26" s="1"/>
  <c r="H106" i="26" s="1"/>
  <c r="A107" i="26"/>
  <c r="F103" i="26"/>
  <c r="G103" i="26" s="1"/>
  <c r="H103" i="26" s="1"/>
  <c r="F113" i="26"/>
  <c r="G113" i="26" s="1"/>
  <c r="H113" i="26" s="1"/>
  <c r="F61" i="26" l="1"/>
  <c r="G61" i="26" s="1"/>
  <c r="H61" i="26" s="1"/>
  <c r="D5" i="27"/>
  <c r="D6" i="27"/>
  <c r="C9" i="27"/>
  <c r="C6" i="27"/>
  <c r="C5" i="27"/>
  <c r="C7" i="27"/>
  <c r="A121" i="26"/>
  <c r="E11" i="27"/>
  <c r="A44" i="26"/>
  <c r="F59" i="26" s="1"/>
  <c r="B126" i="26"/>
  <c r="F51" i="26" l="1"/>
  <c r="F60" i="26"/>
  <c r="G60" i="26" s="1"/>
  <c r="H60" i="26" s="1"/>
  <c r="F52" i="26"/>
  <c r="F53" i="26"/>
  <c r="F56" i="26"/>
  <c r="Q11" i="27"/>
  <c r="F9" i="27"/>
  <c r="D17" i="25"/>
  <c r="C44" i="26" s="1"/>
  <c r="C142" i="26" s="1"/>
  <c r="A142" i="26"/>
  <c r="A51" i="26"/>
  <c r="F86" i="26" s="1"/>
  <c r="C17" i="25"/>
  <c r="E126" i="26"/>
  <c r="F89" i="26" l="1"/>
  <c r="F83" i="26"/>
  <c r="F85" i="26"/>
  <c r="F90" i="26"/>
  <c r="B44" i="26"/>
  <c r="B142" i="26" s="1"/>
  <c r="E142" i="26" s="1"/>
  <c r="F8" i="27"/>
  <c r="A128" i="26"/>
  <c r="R9" i="27"/>
  <c r="D15" i="25"/>
  <c r="N12" i="25"/>
  <c r="F67" i="26"/>
  <c r="G67" i="26" s="1"/>
  <c r="H67" i="26" s="1"/>
  <c r="F71" i="26"/>
  <c r="G71" i="26" s="1"/>
  <c r="H71" i="26" s="1"/>
  <c r="F75" i="26"/>
  <c r="G75" i="26" s="1"/>
  <c r="H75" i="26" s="1"/>
  <c r="F66" i="26"/>
  <c r="G66" i="26" s="1"/>
  <c r="H66" i="26" s="1"/>
  <c r="F70" i="26"/>
  <c r="G70" i="26" s="1"/>
  <c r="H70" i="26" s="1"/>
  <c r="F78" i="26"/>
  <c r="G78" i="26" s="1"/>
  <c r="H78" i="26" s="1"/>
  <c r="F68" i="26"/>
  <c r="G68" i="26" s="1"/>
  <c r="H68" i="26" s="1"/>
  <c r="F72" i="26"/>
  <c r="G72" i="26" s="1"/>
  <c r="H72" i="26" s="1"/>
  <c r="F76" i="26"/>
  <c r="G76" i="26" s="1"/>
  <c r="H76" i="26" s="1"/>
  <c r="F74" i="26"/>
  <c r="G74" i="26" s="1"/>
  <c r="H74" i="26" s="1"/>
  <c r="F69" i="26"/>
  <c r="G69" i="26" s="1"/>
  <c r="H69" i="26" s="1"/>
  <c r="F73" i="26"/>
  <c r="G73" i="26" s="1"/>
  <c r="H73" i="26" s="1"/>
  <c r="F77" i="26"/>
  <c r="G77" i="26" s="1"/>
  <c r="H77" i="26" s="1"/>
  <c r="N13" i="25" l="1"/>
  <c r="A67" i="26"/>
  <c r="G93" i="26"/>
  <c r="H93" i="26" s="1"/>
  <c r="G88" i="26" l="1"/>
  <c r="H88" i="26" s="1"/>
  <c r="G89" i="26"/>
  <c r="H89" i="26" s="1"/>
  <c r="B67" i="26"/>
  <c r="C67" i="26"/>
  <c r="G90" i="26"/>
  <c r="H90" i="26" s="1"/>
  <c r="G86" i="26"/>
  <c r="H86" i="26" s="1"/>
  <c r="A129" i="26"/>
  <c r="G85" i="26"/>
  <c r="H85" i="26" s="1"/>
  <c r="G91" i="26"/>
  <c r="H91" i="26" s="1"/>
  <c r="B129" i="26" l="1"/>
  <c r="G83" i="26"/>
  <c r="H83" i="26" s="1"/>
  <c r="A85" i="26"/>
  <c r="K17" i="25" l="1"/>
  <c r="B85" i="26" s="1"/>
  <c r="U8" i="27" s="1"/>
  <c r="U9" i="27"/>
  <c r="U10" i="27" s="1"/>
  <c r="L17" i="25"/>
  <c r="A130" i="26"/>
  <c r="F107" i="26"/>
  <c r="G107" i="26" s="1"/>
  <c r="H107" i="26" s="1"/>
  <c r="F111" i="26"/>
  <c r="G111" i="26" s="1"/>
  <c r="H111" i="26" s="1"/>
  <c r="F101" i="26"/>
  <c r="G101" i="26" s="1"/>
  <c r="H101" i="26" s="1"/>
  <c r="F112" i="26"/>
  <c r="G112" i="26" s="1"/>
  <c r="H112" i="26" s="1"/>
  <c r="F108" i="26"/>
  <c r="G108" i="26" s="1"/>
  <c r="H108" i="26" s="1"/>
  <c r="A106" i="26"/>
  <c r="F104" i="26"/>
  <c r="G104" i="26" s="1"/>
  <c r="H104" i="26" s="1"/>
  <c r="H16" i="25" l="1"/>
  <c r="H3" i="25" s="1"/>
  <c r="D129" i="26"/>
  <c r="D128" i="26"/>
  <c r="R10" i="27" s="1"/>
  <c r="D142" i="26"/>
  <c r="F10" i="27" s="1"/>
  <c r="D130" i="26"/>
  <c r="L126" i="26"/>
  <c r="J126" i="26" s="1"/>
  <c r="S7" i="27" l="1"/>
  <c r="G142" i="26"/>
  <c r="F142" i="26"/>
  <c r="M9" i="17"/>
  <c r="P20" i="16" l="1"/>
  <c r="P19" i="16"/>
  <c r="O8" i="17" l="1"/>
  <c r="P8" i="17"/>
  <c r="N8" i="17"/>
  <c r="K8" i="17"/>
  <c r="J8" i="17"/>
  <c r="I8" i="17"/>
  <c r="Q9" i="17" l="1"/>
  <c r="P9" i="17"/>
  <c r="O9" i="17"/>
  <c r="N9" i="17"/>
  <c r="L9" i="17"/>
  <c r="K9" i="17"/>
  <c r="J9" i="17"/>
  <c r="I9" i="17"/>
  <c r="A115" i="16" l="1"/>
  <c r="A85" i="16"/>
  <c r="I72" i="16" l="1"/>
  <c r="I74" i="16"/>
  <c r="I73" i="16"/>
  <c r="A79" i="16"/>
  <c r="G78" i="16" l="1"/>
  <c r="H78" i="16" s="1"/>
  <c r="A50" i="16" l="1"/>
  <c r="I138" i="16" l="1"/>
  <c r="I132" i="16"/>
  <c r="I133" i="16"/>
  <c r="I127" i="16"/>
  <c r="G41" i="16"/>
  <c r="H41" i="16" s="1"/>
  <c r="A33" i="16"/>
  <c r="F233" i="16" l="1"/>
  <c r="A5" i="16"/>
  <c r="F68" i="16" l="1"/>
  <c r="F138" i="16"/>
  <c r="G138" i="16" s="1"/>
  <c r="H138" i="16" s="1"/>
  <c r="F132" i="16"/>
  <c r="G132" i="16" s="1"/>
  <c r="H132" i="16" s="1"/>
  <c r="F105" i="16"/>
  <c r="G105" i="16" s="1"/>
  <c r="H105" i="16" s="1"/>
  <c r="F100" i="16"/>
  <c r="G100" i="16" s="1"/>
  <c r="H100" i="16" s="1"/>
  <c r="F133" i="16"/>
  <c r="I141" i="16"/>
  <c r="I174" i="16" s="1"/>
  <c r="F127" i="16"/>
  <c r="F98" i="16"/>
  <c r="G98" i="16" s="1"/>
  <c r="H98" i="16" s="1"/>
  <c r="F72" i="16"/>
  <c r="F94" i="16"/>
  <c r="G94" i="16" s="1"/>
  <c r="H94" i="16" s="1"/>
  <c r="F90" i="16"/>
  <c r="G90" i="16" s="1"/>
  <c r="H90" i="16" s="1"/>
  <c r="F70" i="16"/>
  <c r="H70" i="16" s="1"/>
  <c r="F81" i="16"/>
  <c r="J81" i="16" s="1"/>
  <c r="F82" i="16"/>
  <c r="J82" i="16" s="1"/>
  <c r="F135" i="16"/>
  <c r="G135" i="16" s="1"/>
  <c r="F104" i="16"/>
  <c r="G101" i="16"/>
  <c r="F123" i="16"/>
  <c r="F119" i="16"/>
  <c r="F74" i="16"/>
  <c r="I231" i="16"/>
  <c r="F58" i="16"/>
  <c r="F73" i="16"/>
  <c r="F56" i="16"/>
  <c r="J78" i="16"/>
  <c r="F99" i="16"/>
  <c r="F103" i="16"/>
  <c r="F97" i="16"/>
  <c r="F102" i="16"/>
  <c r="G102" i="16" s="1"/>
  <c r="J102" i="16" s="1"/>
  <c r="F55" i="16"/>
  <c r="F57" i="16"/>
  <c r="J61" i="16"/>
  <c r="F45" i="16"/>
  <c r="F65" i="16" s="1"/>
  <c r="J41" i="16"/>
  <c r="J49" i="16"/>
  <c r="F44" i="16"/>
  <c r="F42" i="16"/>
  <c r="F46" i="16"/>
  <c r="F43" i="16"/>
  <c r="F36" i="16"/>
  <c r="H36" i="16" s="1"/>
  <c r="F34" i="16"/>
  <c r="H34" i="16" s="1"/>
  <c r="F38" i="16"/>
  <c r="H38" i="16" s="1"/>
  <c r="F33" i="16"/>
  <c r="H33" i="16" s="1"/>
  <c r="F35" i="16"/>
  <c r="H35" i="16" s="1"/>
  <c r="B184" i="16"/>
  <c r="F79" i="16"/>
  <c r="H79" i="16" s="1"/>
  <c r="F80" i="16"/>
  <c r="J80" i="16" s="1"/>
  <c r="B30" i="15"/>
  <c r="B29" i="15"/>
  <c r="B28" i="15"/>
  <c r="C27" i="15"/>
  <c r="F37" i="16"/>
  <c r="H37" i="16" s="1"/>
  <c r="D12" i="15"/>
  <c r="C12" i="15"/>
  <c r="B12" i="15"/>
  <c r="A6" i="16"/>
  <c r="A124" i="26"/>
  <c r="B124" i="26"/>
  <c r="C124" i="26"/>
  <c r="D11" i="15"/>
  <c r="C10" i="15"/>
  <c r="B122" i="26" s="1"/>
  <c r="D10" i="15"/>
  <c r="B11" i="15"/>
  <c r="A123" i="26" s="1"/>
  <c r="D123" i="26" s="1"/>
  <c r="B10" i="15"/>
  <c r="C11" i="15"/>
  <c r="E11" i="15" s="1"/>
  <c r="G109" i="16"/>
  <c r="J109" i="16" s="1"/>
  <c r="G84" i="16"/>
  <c r="H84" i="16" s="1"/>
  <c r="G32" i="16"/>
  <c r="H32" i="16" s="1"/>
  <c r="N6" i="15"/>
  <c r="N4" i="15"/>
  <c r="J138" i="16" l="1"/>
  <c r="G133" i="16"/>
  <c r="H133" i="16" s="1"/>
  <c r="J132" i="16"/>
  <c r="G127" i="16"/>
  <c r="H127" i="16" s="1"/>
  <c r="J100" i="16"/>
  <c r="J105" i="16"/>
  <c r="J98" i="16"/>
  <c r="G72" i="16"/>
  <c r="J72" i="16" s="1"/>
  <c r="H72" i="16"/>
  <c r="J90" i="16"/>
  <c r="J94" i="16"/>
  <c r="H82" i="16"/>
  <c r="G82" i="16"/>
  <c r="G70" i="16"/>
  <c r="J70" i="16" s="1"/>
  <c r="B216" i="16"/>
  <c r="B215" i="16"/>
  <c r="B214" i="16"/>
  <c r="B217" i="16"/>
  <c r="B250" i="16"/>
  <c r="B247" i="16"/>
  <c r="B249" i="16"/>
  <c r="B248" i="16"/>
  <c r="J84" i="16"/>
  <c r="G103" i="16"/>
  <c r="J103" i="16" s="1"/>
  <c r="G99" i="16"/>
  <c r="J99" i="16" s="1"/>
  <c r="G97" i="16"/>
  <c r="H97" i="16" s="1"/>
  <c r="H102" i="16"/>
  <c r="G123" i="16"/>
  <c r="H123" i="16" s="1"/>
  <c r="J79" i="16"/>
  <c r="F64" i="16"/>
  <c r="G64" i="16" s="1"/>
  <c r="J64" i="16" s="1"/>
  <c r="F66" i="16"/>
  <c r="F54" i="16"/>
  <c r="H54" i="16" s="1"/>
  <c r="F50" i="16"/>
  <c r="G50" i="16" s="1"/>
  <c r="J50" i="16" s="1"/>
  <c r="G74" i="16"/>
  <c r="J74" i="16" s="1"/>
  <c r="H74" i="16"/>
  <c r="H73" i="16"/>
  <c r="G73" i="16"/>
  <c r="J73" i="16" s="1"/>
  <c r="H43" i="16"/>
  <c r="G43" i="16"/>
  <c r="J43" i="16" s="1"/>
  <c r="F51" i="16"/>
  <c r="H51" i="16" s="1"/>
  <c r="H46" i="16"/>
  <c r="G46" i="16"/>
  <c r="J46" i="16" s="1"/>
  <c r="H45" i="16"/>
  <c r="G45" i="16"/>
  <c r="J45" i="16" s="1"/>
  <c r="H42" i="16"/>
  <c r="G42" i="16"/>
  <c r="J42" i="16" s="1"/>
  <c r="H44" i="16"/>
  <c r="G44" i="16"/>
  <c r="J44" i="16" s="1"/>
  <c r="F52" i="16"/>
  <c r="G52" i="16" s="1"/>
  <c r="J52" i="16" s="1"/>
  <c r="H68" i="16"/>
  <c r="G68" i="16"/>
  <c r="J68" i="16" s="1"/>
  <c r="H55" i="16"/>
  <c r="G55" i="16"/>
  <c r="J55" i="16" s="1"/>
  <c r="G56" i="16"/>
  <c r="J56" i="16" s="1"/>
  <c r="H56" i="16"/>
  <c r="H57" i="16"/>
  <c r="G57" i="16"/>
  <c r="J57" i="16" s="1"/>
  <c r="H58" i="16"/>
  <c r="G58" i="16"/>
  <c r="J58" i="16" s="1"/>
  <c r="G80" i="16"/>
  <c r="H80" i="16"/>
  <c r="G81" i="16"/>
  <c r="H81" i="16"/>
  <c r="A184" i="16"/>
  <c r="A80" i="16"/>
  <c r="G79" i="16"/>
  <c r="H109" i="16"/>
  <c r="B123" i="26"/>
  <c r="E123" i="26" s="1"/>
  <c r="A43" i="16"/>
  <c r="N9" i="15"/>
  <c r="A34" i="16"/>
  <c r="D126" i="26"/>
  <c r="G58" i="26"/>
  <c r="H58" i="26" s="1"/>
  <c r="A122" i="26"/>
  <c r="G51" i="26"/>
  <c r="G55" i="26"/>
  <c r="H55" i="26" s="1"/>
  <c r="G50" i="26"/>
  <c r="H50" i="26" s="1"/>
  <c r="G57" i="26"/>
  <c r="H57" i="26" s="1"/>
  <c r="G56" i="26"/>
  <c r="H56" i="26" s="1"/>
  <c r="G52" i="26"/>
  <c r="H52" i="26" s="1"/>
  <c r="G59" i="26"/>
  <c r="H59" i="26" s="1"/>
  <c r="G53" i="26"/>
  <c r="H53" i="26" s="1"/>
  <c r="G54" i="26"/>
  <c r="H54" i="26" s="1"/>
  <c r="J124" i="26"/>
  <c r="D124" i="26"/>
  <c r="I122" i="26"/>
  <c r="J122" i="26"/>
  <c r="E124" i="26"/>
  <c r="I124" i="26"/>
  <c r="D6" i="25"/>
  <c r="N6" i="25" s="1"/>
  <c r="C123" i="26"/>
  <c r="C122" i="26"/>
  <c r="A20" i="16"/>
  <c r="A186" i="16" s="1"/>
  <c r="B20" i="16"/>
  <c r="B19" i="16"/>
  <c r="B185" i="16" s="1"/>
  <c r="C21" i="16"/>
  <c r="A19" i="16"/>
  <c r="B21" i="16"/>
  <c r="B187" i="16" s="1"/>
  <c r="G33" i="16"/>
  <c r="E11" i="17"/>
  <c r="A21" i="16"/>
  <c r="D6" i="15"/>
  <c r="C20" i="16"/>
  <c r="C19" i="16"/>
  <c r="A161" i="16"/>
  <c r="B228" i="16"/>
  <c r="A228" i="16"/>
  <c r="J133" i="16" l="1"/>
  <c r="J127" i="16"/>
  <c r="G104" i="16"/>
  <c r="J104" i="16" s="1"/>
  <c r="F180" i="16"/>
  <c r="F177" i="16"/>
  <c r="B218" i="16"/>
  <c r="H99" i="16"/>
  <c r="J97" i="16"/>
  <c r="A188" i="16"/>
  <c r="G66" i="16"/>
  <c r="J66" i="16" s="1"/>
  <c r="F106" i="16"/>
  <c r="F96" i="16"/>
  <c r="F95" i="16"/>
  <c r="F92" i="16"/>
  <c r="F87" i="16"/>
  <c r="F86" i="16"/>
  <c r="F85" i="16"/>
  <c r="F89" i="16"/>
  <c r="F93" i="16"/>
  <c r="H103" i="16"/>
  <c r="G54" i="16"/>
  <c r="J54" i="16" s="1"/>
  <c r="H52" i="16"/>
  <c r="G51" i="16"/>
  <c r="J51" i="16" s="1"/>
  <c r="H64" i="16"/>
  <c r="H66" i="16"/>
  <c r="H50" i="16"/>
  <c r="A189" i="16"/>
  <c r="H20" i="15"/>
  <c r="E21" i="15" s="1"/>
  <c r="G20" i="15"/>
  <c r="A192" i="16"/>
  <c r="J123" i="26"/>
  <c r="I123" i="26"/>
  <c r="A231" i="16"/>
  <c r="F231" i="16" s="1"/>
  <c r="A187" i="16"/>
  <c r="C231" i="16"/>
  <c r="C187" i="16"/>
  <c r="B230" i="16"/>
  <c r="E230" i="16" s="1"/>
  <c r="B186" i="16"/>
  <c r="C229" i="16"/>
  <c r="C185" i="16"/>
  <c r="E187" i="16"/>
  <c r="C230" i="16"/>
  <c r="C186" i="16"/>
  <c r="A229" i="16"/>
  <c r="L229" i="16" s="1"/>
  <c r="A185" i="16"/>
  <c r="D23" i="15"/>
  <c r="S9" i="17"/>
  <c r="C23" i="15"/>
  <c r="S8" i="17" s="1"/>
  <c r="B229" i="16"/>
  <c r="E8" i="17"/>
  <c r="B231" i="16"/>
  <c r="A230" i="16"/>
  <c r="A235" i="16"/>
  <c r="A233" i="16"/>
  <c r="F88" i="16"/>
  <c r="D17" i="15"/>
  <c r="B14" i="15" s="1"/>
  <c r="C17" i="15"/>
  <c r="G123" i="26"/>
  <c r="D10" i="27"/>
  <c r="D7" i="27" s="1"/>
  <c r="F123" i="26"/>
  <c r="H51" i="26"/>
  <c r="L11" i="25" s="1"/>
  <c r="L8" i="25" s="1"/>
  <c r="K11" i="25"/>
  <c r="B51" i="26" s="1"/>
  <c r="R8" i="27" s="1"/>
  <c r="R7" i="27" s="1"/>
  <c r="G126" i="26"/>
  <c r="F126" i="26"/>
  <c r="G124" i="26"/>
  <c r="F124" i="26"/>
  <c r="N9" i="25"/>
  <c r="N10" i="25"/>
  <c r="D137" i="26"/>
  <c r="L10" i="27" s="1"/>
  <c r="D135" i="26"/>
  <c r="J10" i="27" s="1"/>
  <c r="D136" i="26"/>
  <c r="K10" i="27" s="1"/>
  <c r="D140" i="26"/>
  <c r="O10" i="27" s="1"/>
  <c r="D138" i="26"/>
  <c r="M10" i="27" s="1"/>
  <c r="D122" i="26"/>
  <c r="D134" i="26"/>
  <c r="I10" i="27" s="1"/>
  <c r="D139" i="26"/>
  <c r="N10" i="27" s="1"/>
  <c r="E122" i="26"/>
  <c r="D133" i="26"/>
  <c r="H10" i="27" s="1"/>
  <c r="D141" i="26"/>
  <c r="P10" i="27" s="1"/>
  <c r="I126" i="26"/>
  <c r="N8" i="15"/>
  <c r="N7" i="15"/>
  <c r="C8" i="17"/>
  <c r="D9" i="17"/>
  <c r="C9" i="17"/>
  <c r="D8" i="17"/>
  <c r="D5" i="17" s="1"/>
  <c r="E9" i="17"/>
  <c r="G9" i="17"/>
  <c r="N5" i="15"/>
  <c r="U9" i="17" l="1"/>
  <c r="Q11" i="17"/>
  <c r="B20" i="15"/>
  <c r="N13" i="15"/>
  <c r="D185" i="16"/>
  <c r="G88" i="16"/>
  <c r="J88" i="16" s="1"/>
  <c r="G89" i="16"/>
  <c r="J89" i="16" s="1"/>
  <c r="J101" i="16"/>
  <c r="G85" i="16"/>
  <c r="H85" i="16" s="1"/>
  <c r="G86" i="16"/>
  <c r="J86" i="16" s="1"/>
  <c r="G87" i="16"/>
  <c r="H87" i="16" s="1"/>
  <c r="G92" i="16"/>
  <c r="J92" i="16" s="1"/>
  <c r="G93" i="16"/>
  <c r="J93" i="16" s="1"/>
  <c r="G95" i="16"/>
  <c r="J95" i="16" s="1"/>
  <c r="G106" i="16"/>
  <c r="J106" i="16" s="1"/>
  <c r="G96" i="16"/>
  <c r="J96" i="16" s="1"/>
  <c r="E17" i="15"/>
  <c r="B34" i="16"/>
  <c r="I235" i="16"/>
  <c r="A23" i="15"/>
  <c r="D229" i="16"/>
  <c r="L231" i="16"/>
  <c r="C51" i="26"/>
  <c r="N15" i="25"/>
  <c r="E185" i="16"/>
  <c r="C80" i="16"/>
  <c r="C192" i="16" s="1"/>
  <c r="B80" i="16"/>
  <c r="B192" i="16" s="1"/>
  <c r="E192" i="16" s="1"/>
  <c r="A17" i="15"/>
  <c r="B251" i="16"/>
  <c r="L230" i="16"/>
  <c r="L232" i="16"/>
  <c r="F235" i="16"/>
  <c r="E229" i="16"/>
  <c r="E231" i="16"/>
  <c r="U8" i="17"/>
  <c r="J27" i="15"/>
  <c r="J22" i="25"/>
  <c r="K11" i="27" s="1"/>
  <c r="G140" i="26"/>
  <c r="F140" i="26"/>
  <c r="G141" i="26"/>
  <c r="F141" i="26"/>
  <c r="F134" i="26"/>
  <c r="G134" i="26"/>
  <c r="G136" i="26"/>
  <c r="F136" i="26"/>
  <c r="J136" i="26" s="1"/>
  <c r="G139" i="26"/>
  <c r="F139" i="26"/>
  <c r="G133" i="26"/>
  <c r="F133" i="26"/>
  <c r="D146" i="26"/>
  <c r="G122" i="26"/>
  <c r="F122" i="26"/>
  <c r="F135" i="26"/>
  <c r="J135" i="26" s="1"/>
  <c r="G135" i="26"/>
  <c r="G137" i="26"/>
  <c r="F137" i="26"/>
  <c r="J137" i="26" s="1"/>
  <c r="G138" i="26"/>
  <c r="F138" i="26"/>
  <c r="J138" i="26" s="1"/>
  <c r="B18" i="15"/>
  <c r="L11" i="17" s="1"/>
  <c r="C34" i="16"/>
  <c r="D15" i="15"/>
  <c r="N11" i="15"/>
  <c r="F144" i="16" l="1"/>
  <c r="H185" i="16"/>
  <c r="F140" i="16"/>
  <c r="F150" i="16"/>
  <c r="F143" i="16"/>
  <c r="I185" i="16"/>
  <c r="N14" i="15"/>
  <c r="F185" i="16"/>
  <c r="G185" i="16"/>
  <c r="H89" i="16"/>
  <c r="H95" i="16"/>
  <c r="H101" i="16"/>
  <c r="H88" i="16"/>
  <c r="H96" i="16"/>
  <c r="J85" i="16"/>
  <c r="J87" i="16"/>
  <c r="F153" i="16"/>
  <c r="F113" i="16"/>
  <c r="F131" i="16"/>
  <c r="F176" i="16"/>
  <c r="G176" i="16" s="1"/>
  <c r="B188" i="16"/>
  <c r="H106" i="16"/>
  <c r="H86" i="16"/>
  <c r="H92" i="16"/>
  <c r="H93" i="16"/>
  <c r="C233" i="16"/>
  <c r="C188" i="16"/>
  <c r="B233" i="16"/>
  <c r="N12" i="15"/>
  <c r="L8" i="17"/>
  <c r="B43" i="16"/>
  <c r="B189" i="16" s="1"/>
  <c r="L185" i="16" l="1"/>
  <c r="J185" i="16"/>
  <c r="G153" i="16"/>
  <c r="H153" i="16" s="1"/>
  <c r="G144" i="16"/>
  <c r="H144" i="16" s="1"/>
  <c r="G150" i="16"/>
  <c r="H150" i="16" s="1"/>
  <c r="G143" i="16"/>
  <c r="H143" i="16" s="1"/>
  <c r="G131" i="16"/>
  <c r="H131" i="16" s="1"/>
  <c r="G140" i="16"/>
  <c r="H140" i="16" s="1"/>
  <c r="E189" i="16"/>
  <c r="E186" i="16"/>
  <c r="E233" i="16"/>
  <c r="B235" i="16"/>
  <c r="N17" i="15"/>
  <c r="C43" i="16"/>
  <c r="J153" i="16" l="1"/>
  <c r="J144" i="16"/>
  <c r="J150" i="16"/>
  <c r="J143" i="16"/>
  <c r="J140" i="16"/>
  <c r="J131" i="16"/>
  <c r="H135" i="16"/>
  <c r="J135" i="16"/>
  <c r="C235" i="16"/>
  <c r="C189" i="16"/>
  <c r="A239" i="16"/>
  <c r="I239" i="16" s="1"/>
  <c r="A194" i="16"/>
  <c r="E235" i="16"/>
  <c r="G113" i="16" l="1"/>
  <c r="G119" i="16"/>
  <c r="H104" i="16"/>
  <c r="F239" i="16"/>
  <c r="D239" i="16"/>
  <c r="H119" i="16" l="1"/>
  <c r="H113" i="16"/>
  <c r="J113" i="16"/>
  <c r="G180" i="16"/>
  <c r="C7" i="17"/>
  <c r="C5" i="17"/>
  <c r="C6" i="17"/>
  <c r="E5" i="17"/>
  <c r="H180" i="16" l="1"/>
  <c r="J180" i="16" l="1"/>
  <c r="B128" i="26"/>
  <c r="E128" i="26" s="1"/>
  <c r="H128" i="26" l="1"/>
  <c r="G128" i="26"/>
  <c r="F128" i="26"/>
  <c r="C128" i="26"/>
  <c r="G8" i="17" l="1"/>
  <c r="Z9" i="17" l="1"/>
  <c r="G129" i="26" l="1"/>
  <c r="C129" i="26"/>
  <c r="B239" i="16" l="1"/>
  <c r="E239" i="16" s="1"/>
  <c r="B194" i="16"/>
  <c r="J194" i="16" s="1"/>
  <c r="C239" i="16"/>
  <c r="C194" i="16"/>
  <c r="H129" i="26"/>
  <c r="E129" i="26"/>
  <c r="F129" i="26"/>
  <c r="Z8" i="17"/>
  <c r="E194" i="16" l="1"/>
  <c r="U6" i="27" l="1"/>
  <c r="U7" i="27"/>
  <c r="U5" i="27"/>
  <c r="B130" i="26"/>
  <c r="A104" i="26"/>
  <c r="A105" i="26"/>
  <c r="G177" i="16" l="1"/>
  <c r="J177" i="16" s="1"/>
  <c r="J176" i="16"/>
  <c r="F130" i="26"/>
  <c r="G130" i="26"/>
  <c r="G149" i="26" s="1"/>
  <c r="J130" i="26"/>
  <c r="H130" i="26"/>
  <c r="I130" i="26"/>
  <c r="E130" i="26"/>
  <c r="A103" i="26"/>
  <c r="L15" i="25"/>
  <c r="O3" i="25" s="1"/>
  <c r="H177" i="16" l="1"/>
  <c r="H176" i="16"/>
  <c r="J6" i="25"/>
  <c r="N7" i="27"/>
  <c r="M7" i="27"/>
  <c r="I6" i="27"/>
  <c r="I7" i="27"/>
  <c r="I5" i="27"/>
  <c r="H6" i="27"/>
  <c r="H5" i="27"/>
  <c r="H7" i="27"/>
  <c r="R6" i="27"/>
  <c r="J7" i="27"/>
  <c r="J6" i="27"/>
  <c r="K7" i="27"/>
  <c r="F7" i="27"/>
  <c r="F148" i="26"/>
  <c r="I148" i="26" s="1"/>
  <c r="G152" i="26"/>
  <c r="I149" i="26"/>
  <c r="N17" i="25"/>
  <c r="N16" i="25"/>
  <c r="I147" i="26"/>
  <c r="E147" i="26"/>
  <c r="E152" i="26" s="1"/>
  <c r="H150" i="26"/>
  <c r="J148" i="26"/>
  <c r="I151" i="26" l="1"/>
  <c r="J152" i="26"/>
  <c r="M3" i="25"/>
  <c r="J4" i="25" s="1"/>
  <c r="O2" i="25"/>
  <c r="P1" i="25" s="1"/>
  <c r="B2" i="25" l="1"/>
  <c r="O1" i="25"/>
  <c r="V1" i="27" s="1"/>
  <c r="L7" i="27"/>
  <c r="O7" i="27"/>
  <c r="P7" i="27"/>
  <c r="Q1" i="25" l="1"/>
  <c r="K1" i="25" l="1"/>
  <c r="A154" i="16"/>
  <c r="I120" i="16" s="1"/>
  <c r="F120" i="16" s="1"/>
  <c r="A62" i="16" l="1"/>
  <c r="F175" i="16" s="1"/>
  <c r="G175" i="16" s="1"/>
  <c r="H175" i="16" l="1"/>
  <c r="I142" i="16"/>
  <c r="F178" i="16"/>
  <c r="F130" i="16"/>
  <c r="J175" i="16" l="1"/>
  <c r="G178" i="16"/>
  <c r="H178" i="16" s="1"/>
  <c r="G130" i="16"/>
  <c r="H130" i="16" s="1"/>
  <c r="J178" i="16" l="1"/>
  <c r="J130" i="16"/>
  <c r="F194" i="16"/>
  <c r="G194" i="16" l="1"/>
  <c r="L194" i="16" s="1"/>
  <c r="Z10" i="17"/>
  <c r="Z7" i="17" s="1"/>
  <c r="J201" i="16" l="1"/>
  <c r="G65" i="16" l="1"/>
  <c r="J65" i="16" s="1"/>
  <c r="H65" i="16"/>
  <c r="G120" i="16" l="1"/>
  <c r="H120" i="16" s="1"/>
  <c r="A51" i="16" l="1"/>
  <c r="A190" i="16" l="1"/>
  <c r="V9" i="17" s="1"/>
  <c r="A236" i="16"/>
  <c r="F236" i="16" s="1"/>
  <c r="F91" i="16"/>
  <c r="A86" i="16" s="1"/>
  <c r="F141" i="16" l="1"/>
  <c r="G141" i="16" s="1"/>
  <c r="H141" i="16" s="1"/>
  <c r="F129" i="16"/>
  <c r="I236" i="16"/>
  <c r="A193" i="16"/>
  <c r="F139" i="16"/>
  <c r="F147" i="16"/>
  <c r="F53" i="16"/>
  <c r="F137" i="16"/>
  <c r="J120" i="16"/>
  <c r="F126" i="16"/>
  <c r="A238" i="16"/>
  <c r="F136" i="16"/>
  <c r="F149" i="16"/>
  <c r="J123" i="16"/>
  <c r="F128" i="16"/>
  <c r="F134" i="16"/>
  <c r="J119" i="16"/>
  <c r="K17" i="15"/>
  <c r="B86" i="16" s="1"/>
  <c r="F179" i="16" s="1"/>
  <c r="G91" i="16"/>
  <c r="H91" i="16" s="1"/>
  <c r="L17" i="15"/>
  <c r="J141" i="16" l="1"/>
  <c r="G128" i="16"/>
  <c r="H128" i="16" s="1"/>
  <c r="G137" i="16"/>
  <c r="H137" i="16" s="1"/>
  <c r="G129" i="16"/>
  <c r="H129" i="16" s="1"/>
  <c r="G22" i="15"/>
  <c r="H53" i="16"/>
  <c r="G53" i="16"/>
  <c r="J53" i="16" s="1"/>
  <c r="H22" i="15"/>
  <c r="G149" i="16"/>
  <c r="H149" i="16" s="1"/>
  <c r="G147" i="16"/>
  <c r="H147" i="16" s="1"/>
  <c r="G126" i="16"/>
  <c r="H126" i="16" s="1"/>
  <c r="G139" i="16"/>
  <c r="H139" i="16" s="1"/>
  <c r="G136" i="16"/>
  <c r="H136" i="16" s="1"/>
  <c r="G134" i="16"/>
  <c r="H134" i="16" s="1"/>
  <c r="I238" i="16"/>
  <c r="F238" i="16"/>
  <c r="C86" i="16"/>
  <c r="L15" i="15"/>
  <c r="J91" i="16"/>
  <c r="B193" i="16"/>
  <c r="E193" i="16" s="1"/>
  <c r="Y8" i="17"/>
  <c r="B238" i="16"/>
  <c r="E238" i="16" s="1"/>
  <c r="F148" i="16"/>
  <c r="J147" i="16" l="1"/>
  <c r="J137" i="16"/>
  <c r="J134" i="16"/>
  <c r="J139" i="16"/>
  <c r="J126" i="16"/>
  <c r="J136" i="16"/>
  <c r="J128" i="16"/>
  <c r="V8" i="17"/>
  <c r="B51" i="16"/>
  <c r="N18" i="15" s="1"/>
  <c r="J129" i="16"/>
  <c r="J149" i="16"/>
  <c r="C51" i="16"/>
  <c r="F71" i="16" s="1"/>
  <c r="E23" i="15"/>
  <c r="G179" i="16"/>
  <c r="H179" i="16" s="1"/>
  <c r="F124" i="16"/>
  <c r="F118" i="16"/>
  <c r="F121" i="16"/>
  <c r="F115" i="16"/>
  <c r="F122" i="16"/>
  <c r="F116" i="16"/>
  <c r="F125" i="16"/>
  <c r="C238" i="16"/>
  <c r="F117" i="16"/>
  <c r="C193" i="16"/>
  <c r="F114" i="16"/>
  <c r="G148" i="16"/>
  <c r="H148" i="16" s="1"/>
  <c r="Y9" i="17"/>
  <c r="G71" i="16" l="1"/>
  <c r="J71" i="16" s="1"/>
  <c r="H71" i="16"/>
  <c r="F62" i="16"/>
  <c r="C236" i="16"/>
  <c r="F67" i="16"/>
  <c r="G67" i="16" s="1"/>
  <c r="H67" i="16" s="1"/>
  <c r="F63" i="16"/>
  <c r="A63" i="16" s="1"/>
  <c r="F146" i="16" s="1"/>
  <c r="F69" i="16"/>
  <c r="C190" i="16"/>
  <c r="B190" i="16"/>
  <c r="B236" i="16"/>
  <c r="F142" i="16"/>
  <c r="G121" i="16"/>
  <c r="H121" i="16" s="1"/>
  <c r="G115" i="16"/>
  <c r="H115" i="16" s="1"/>
  <c r="G117" i="16"/>
  <c r="H117" i="16" s="1"/>
  <c r="G118" i="16"/>
  <c r="H118" i="16" s="1"/>
  <c r="G125" i="16"/>
  <c r="H125" i="16" s="1"/>
  <c r="G124" i="16"/>
  <c r="H124" i="16" s="1"/>
  <c r="G116" i="16"/>
  <c r="H116" i="16" s="1"/>
  <c r="G122" i="16"/>
  <c r="H122" i="16" s="1"/>
  <c r="G114" i="16"/>
  <c r="H114" i="16" s="1"/>
  <c r="J179" i="16"/>
  <c r="J148" i="16"/>
  <c r="G146" i="16" l="1"/>
  <c r="H146" i="16" s="1"/>
  <c r="A116" i="16"/>
  <c r="I159" i="16" s="1"/>
  <c r="F159" i="16" s="1"/>
  <c r="G159" i="16" s="1"/>
  <c r="H159" i="16" s="1"/>
  <c r="J118" i="16"/>
  <c r="J67" i="16"/>
  <c r="A191" i="16"/>
  <c r="F145" i="16"/>
  <c r="A237" i="16"/>
  <c r="J116" i="16"/>
  <c r="J121" i="16"/>
  <c r="H69" i="16"/>
  <c r="G69" i="16"/>
  <c r="J69" i="16" s="1"/>
  <c r="J114" i="16"/>
  <c r="G142" i="16"/>
  <c r="H142" i="16" s="1"/>
  <c r="H63" i="16"/>
  <c r="G63" i="16"/>
  <c r="J63" i="16" s="1"/>
  <c r="J236" i="16"/>
  <c r="E236" i="16"/>
  <c r="E190" i="16"/>
  <c r="G62" i="16"/>
  <c r="J62" i="16" s="1"/>
  <c r="H62" i="16"/>
  <c r="J125" i="16"/>
  <c r="J122" i="16"/>
  <c r="J124" i="16"/>
  <c r="J117" i="16"/>
  <c r="J115" i="16"/>
  <c r="L22" i="15" l="1"/>
  <c r="C85" i="26" s="1"/>
  <c r="C130" i="26" s="1"/>
  <c r="A240" i="16"/>
  <c r="J240" i="16" s="1"/>
  <c r="AA9" i="17"/>
  <c r="F169" i="16"/>
  <c r="G169" i="16" s="1"/>
  <c r="H169" i="16" s="1"/>
  <c r="J146" i="16"/>
  <c r="A160" i="16"/>
  <c r="H24" i="15"/>
  <c r="C63" i="16" s="1"/>
  <c r="K22" i="15"/>
  <c r="B116" i="16" s="1"/>
  <c r="G24" i="15"/>
  <c r="E25" i="15" s="1"/>
  <c r="J159" i="16"/>
  <c r="I237" i="16"/>
  <c r="I245" i="16" s="1"/>
  <c r="F237" i="16"/>
  <c r="F244" i="16" s="1"/>
  <c r="G145" i="16"/>
  <c r="H145" i="16" s="1"/>
  <c r="W9" i="17"/>
  <c r="J142" i="16"/>
  <c r="C116" i="16" l="1"/>
  <c r="A195" i="16" s="1"/>
  <c r="D195" i="16" s="1"/>
  <c r="J169" i="16"/>
  <c r="H18" i="15"/>
  <c r="F17" i="15" s="1"/>
  <c r="F170" i="16"/>
  <c r="G170" i="16" s="1"/>
  <c r="H170" i="16" s="1"/>
  <c r="F155" i="16"/>
  <c r="G155" i="16" s="1"/>
  <c r="H155" i="16" s="1"/>
  <c r="F164" i="16"/>
  <c r="G164" i="16" s="1"/>
  <c r="H164" i="16" s="1"/>
  <c r="B63" i="16"/>
  <c r="B191" i="16" s="1"/>
  <c r="E191" i="16" s="1"/>
  <c r="W8" i="17"/>
  <c r="F160" i="16"/>
  <c r="G160" i="16" s="1"/>
  <c r="H160" i="16" s="1"/>
  <c r="F166" i="16"/>
  <c r="G166" i="16" s="1"/>
  <c r="H166" i="16" s="1"/>
  <c r="I22" i="15"/>
  <c r="J145" i="16"/>
  <c r="D188" i="16"/>
  <c r="A157" i="16"/>
  <c r="B195" i="16"/>
  <c r="E195" i="16" s="1"/>
  <c r="B240" i="16"/>
  <c r="E240" i="16" s="1"/>
  <c r="AA8" i="17"/>
  <c r="A158" i="16"/>
  <c r="D191" i="16"/>
  <c r="C237" i="16"/>
  <c r="C191" i="16"/>
  <c r="N19" i="15" l="1"/>
  <c r="C240" i="16"/>
  <c r="F157" i="16"/>
  <c r="G157" i="16" s="1"/>
  <c r="H157" i="16" s="1"/>
  <c r="F172" i="16"/>
  <c r="G172" i="16" s="1"/>
  <c r="H172" i="16" s="1"/>
  <c r="F156" i="16"/>
  <c r="G156" i="16" s="1"/>
  <c r="H156" i="16" s="1"/>
  <c r="F165" i="16"/>
  <c r="G165" i="16" s="1"/>
  <c r="H165" i="16" s="1"/>
  <c r="F174" i="16"/>
  <c r="G174" i="16" s="1"/>
  <c r="H174" i="16" s="1"/>
  <c r="F161" i="16"/>
  <c r="G161" i="16" s="1"/>
  <c r="H161" i="16" s="1"/>
  <c r="F158" i="16"/>
  <c r="G158" i="16" s="1"/>
  <c r="H158" i="16" s="1"/>
  <c r="F173" i="16"/>
  <c r="G173" i="16" s="1"/>
  <c r="H173" i="16" s="1"/>
  <c r="F163" i="16"/>
  <c r="G163" i="16" s="1"/>
  <c r="H163" i="16" s="1"/>
  <c r="F162" i="16"/>
  <c r="G162" i="16" s="1"/>
  <c r="H162" i="16" s="1"/>
  <c r="F168" i="16"/>
  <c r="G168" i="16" s="1"/>
  <c r="H168" i="16" s="1"/>
  <c r="F167" i="16"/>
  <c r="G167" i="16" s="1"/>
  <c r="H167" i="16" s="1"/>
  <c r="F154" i="16"/>
  <c r="G154" i="16" s="1"/>
  <c r="H154" i="16" s="1"/>
  <c r="F171" i="16"/>
  <c r="G171" i="16" s="1"/>
  <c r="H171" i="16" s="1"/>
  <c r="C195" i="16"/>
  <c r="N16" i="15"/>
  <c r="B237" i="16"/>
  <c r="J237" i="16" s="1"/>
  <c r="J172" i="16"/>
  <c r="J166" i="16"/>
  <c r="J155" i="16"/>
  <c r="J157" i="16"/>
  <c r="J170" i="16"/>
  <c r="J160" i="16"/>
  <c r="J164" i="16"/>
  <c r="A156" i="16"/>
  <c r="G195" i="16"/>
  <c r="H195" i="16"/>
  <c r="F195" i="16"/>
  <c r="I195" i="16"/>
  <c r="J195" i="16" s="1"/>
  <c r="G188" i="16"/>
  <c r="I188" i="16"/>
  <c r="J188" i="16" s="1"/>
  <c r="E188" i="16"/>
  <c r="H188" i="16"/>
  <c r="F188" i="16"/>
  <c r="G10" i="17"/>
  <c r="G191" i="16"/>
  <c r="F191" i="16"/>
  <c r="H191" i="16"/>
  <c r="W10" i="17"/>
  <c r="I191" i="16"/>
  <c r="J165" i="16" l="1"/>
  <c r="J161" i="16"/>
  <c r="J174" i="16"/>
  <c r="A155" i="16"/>
  <c r="AB9" i="17" s="1"/>
  <c r="AA10" i="17" s="1"/>
  <c r="AA7" i="17" s="1"/>
  <c r="J163" i="16"/>
  <c r="J167" i="16"/>
  <c r="J173" i="16"/>
  <c r="J156" i="16"/>
  <c r="J154" i="16"/>
  <c r="J162" i="16"/>
  <c r="J171" i="16"/>
  <c r="J158" i="16"/>
  <c r="J168" i="16"/>
  <c r="L195" i="16"/>
  <c r="L188" i="16"/>
  <c r="G7" i="17"/>
  <c r="G6" i="17"/>
  <c r="G5" i="17"/>
  <c r="W6" i="17"/>
  <c r="W5" i="17"/>
  <c r="W7" i="17"/>
  <c r="J191" i="16"/>
  <c r="L191" i="16"/>
  <c r="A241" i="16" l="1"/>
  <c r="D231" i="16" s="1"/>
  <c r="AA5" i="17"/>
  <c r="K24" i="15"/>
  <c r="B102" i="26" s="1"/>
  <c r="AA6" i="17"/>
  <c r="L24" i="15"/>
  <c r="J25" i="15" s="1"/>
  <c r="L25" i="15" s="1"/>
  <c r="D236" i="16"/>
  <c r="D233" i="16"/>
  <c r="D238" i="16"/>
  <c r="D235" i="16"/>
  <c r="D230" i="16"/>
  <c r="D240" i="16" l="1"/>
  <c r="J241" i="16"/>
  <c r="J246" i="16" s="1"/>
  <c r="B255" i="16" s="1"/>
  <c r="B253" i="16" s="1"/>
  <c r="D241" i="16"/>
  <c r="B155" i="16"/>
  <c r="B241" i="16" s="1"/>
  <c r="E241" i="16" s="1"/>
  <c r="I24" i="15"/>
  <c r="R1" i="15" s="1"/>
  <c r="S1" i="15" s="1"/>
  <c r="J13" i="15" s="1"/>
  <c r="N20" i="15"/>
  <c r="N21" i="15" s="1"/>
  <c r="C155" i="16"/>
  <c r="C241" i="16" s="1"/>
  <c r="C102" i="26"/>
  <c r="L20" i="15"/>
  <c r="H15" i="15" s="1"/>
  <c r="H3" i="15" s="1"/>
  <c r="O3" i="15" s="1"/>
  <c r="M3" i="15" s="1"/>
  <c r="C196" i="16"/>
  <c r="N22" i="15" l="1"/>
  <c r="AB8" i="17"/>
  <c r="AB7" i="17" s="1"/>
  <c r="B196" i="16"/>
  <c r="E196" i="16" s="1"/>
  <c r="E208" i="16" s="1"/>
  <c r="B254" i="16"/>
  <c r="B256" i="16"/>
  <c r="B258" i="16" s="1"/>
  <c r="N23" i="15"/>
  <c r="A196" i="16"/>
  <c r="D193" i="16" s="1"/>
  <c r="Y10" i="17" s="1"/>
  <c r="N2" i="15"/>
  <c r="O2" i="15" s="1"/>
  <c r="B206" i="16"/>
  <c r="C206" i="16" s="1"/>
  <c r="AB6" i="17"/>
  <c r="AB5" i="17"/>
  <c r="H23" i="15"/>
  <c r="I193" i="16" l="1"/>
  <c r="J193" i="16" s="1"/>
  <c r="G193" i="16"/>
  <c r="H193" i="16"/>
  <c r="F193" i="16"/>
  <c r="D187" i="16"/>
  <c r="D199" i="16"/>
  <c r="D198" i="16"/>
  <c r="F198" i="16" s="1"/>
  <c r="D192" i="16"/>
  <c r="D186" i="16"/>
  <c r="D10" i="17" s="1"/>
  <c r="D6" i="17" s="1"/>
  <c r="D204" i="16"/>
  <c r="G204" i="16" s="1"/>
  <c r="D196" i="16"/>
  <c r="D205" i="16"/>
  <c r="F205" i="16" s="1"/>
  <c r="D203" i="16"/>
  <c r="D197" i="16"/>
  <c r="I10" i="17" s="1"/>
  <c r="I7" i="17" s="1"/>
  <c r="D200" i="16"/>
  <c r="D189" i="16"/>
  <c r="U10" i="17" s="1"/>
  <c r="U7" i="17" s="1"/>
  <c r="D190" i="16"/>
  <c r="D202" i="16"/>
  <c r="D201" i="16"/>
  <c r="Y7" i="17"/>
  <c r="Y6" i="17"/>
  <c r="L193" i="16" l="1"/>
  <c r="J10" i="17"/>
  <c r="J6" i="17" s="1"/>
  <c r="G198" i="16"/>
  <c r="L198" i="16" s="1"/>
  <c r="H198" i="16"/>
  <c r="D7" i="17"/>
  <c r="F204" i="16"/>
  <c r="L204" i="16" s="1"/>
  <c r="F186" i="16"/>
  <c r="I198" i="16"/>
  <c r="J198" i="16" s="1"/>
  <c r="I199" i="16"/>
  <c r="J199" i="16" s="1"/>
  <c r="G199" i="16"/>
  <c r="F199" i="16"/>
  <c r="H199" i="16"/>
  <c r="K10" i="17"/>
  <c r="E10" i="17"/>
  <c r="H187" i="16"/>
  <c r="I187" i="16"/>
  <c r="J187" i="16" s="1"/>
  <c r="G187" i="16"/>
  <c r="F187" i="16"/>
  <c r="I186" i="16"/>
  <c r="J186" i="16" s="1"/>
  <c r="G186" i="16"/>
  <c r="H192" i="16"/>
  <c r="S10" i="17"/>
  <c r="S7" i="17" s="1"/>
  <c r="I192" i="16"/>
  <c r="J192" i="16" s="1"/>
  <c r="G192" i="16"/>
  <c r="F192" i="16"/>
  <c r="H186" i="16"/>
  <c r="H204" i="16"/>
  <c r="I204" i="16"/>
  <c r="J204" i="16" s="1"/>
  <c r="P10" i="17"/>
  <c r="P7" i="17" s="1"/>
  <c r="I197" i="16"/>
  <c r="J197" i="16" s="1"/>
  <c r="H205" i="16"/>
  <c r="Q10" i="17"/>
  <c r="Q7" i="17" s="1"/>
  <c r="G205" i="16"/>
  <c r="L205" i="16" s="1"/>
  <c r="I205" i="16"/>
  <c r="J205" i="16" s="1"/>
  <c r="I6" i="17"/>
  <c r="I5" i="17"/>
  <c r="I196" i="16"/>
  <c r="J196" i="16" s="1"/>
  <c r="H196" i="16"/>
  <c r="G196" i="16"/>
  <c r="F196" i="16"/>
  <c r="H197" i="16"/>
  <c r="G197" i="16"/>
  <c r="F197" i="16"/>
  <c r="I203" i="16"/>
  <c r="J203" i="16" s="1"/>
  <c r="H203" i="16"/>
  <c r="G203" i="16"/>
  <c r="O10" i="17"/>
  <c r="O7" i="17" s="1"/>
  <c r="F203" i="16"/>
  <c r="G200" i="16"/>
  <c r="H200" i="16"/>
  <c r="F200" i="16"/>
  <c r="I200" i="16"/>
  <c r="J200" i="16" s="1"/>
  <c r="L10" i="17"/>
  <c r="H189" i="16"/>
  <c r="F189" i="16"/>
  <c r="G189" i="16"/>
  <c r="I189" i="16"/>
  <c r="J189" i="16" s="1"/>
  <c r="V10" i="17"/>
  <c r="I190" i="16"/>
  <c r="J190" i="16" s="1"/>
  <c r="F190" i="16"/>
  <c r="G190" i="16"/>
  <c r="H190" i="16"/>
  <c r="M10" i="17"/>
  <c r="M7" i="17" s="1"/>
  <c r="G201" i="16"/>
  <c r="F201" i="16"/>
  <c r="H201" i="16"/>
  <c r="H202" i="16"/>
  <c r="N10" i="17"/>
  <c r="N7" i="17" s="1"/>
  <c r="I202" i="16"/>
  <c r="J202" i="16" s="1"/>
  <c r="F202" i="16"/>
  <c r="G202" i="16"/>
  <c r="D207" i="16"/>
  <c r="J5" i="17" l="1"/>
  <c r="J7" i="17"/>
  <c r="L186" i="16"/>
  <c r="L192" i="16"/>
  <c r="L199" i="16"/>
  <c r="E7" i="17"/>
  <c r="E6" i="17"/>
  <c r="K6" i="17"/>
  <c r="K7" i="17"/>
  <c r="L187" i="16"/>
  <c r="L196" i="16"/>
  <c r="L203" i="16"/>
  <c r="L197" i="16"/>
  <c r="J213" i="16"/>
  <c r="L200" i="16"/>
  <c r="H211" i="16"/>
  <c r="B221" i="16" s="1"/>
  <c r="L202" i="16"/>
  <c r="L6" i="17"/>
  <c r="L7" i="17"/>
  <c r="L190" i="16"/>
  <c r="V6" i="17"/>
  <c r="V7" i="17"/>
  <c r="F209" i="16"/>
  <c r="G210" i="16"/>
  <c r="L189" i="16"/>
  <c r="L201" i="16"/>
  <c r="I212" i="16"/>
  <c r="B223" i="16" l="1"/>
  <c r="B222" i="16"/>
  <c r="B220" i="16" s="1"/>
  <c r="B225" i="16" s="1"/>
  <c r="J9" i="15" s="1"/>
  <c r="I9" i="15" s="1"/>
  <c r="J3" i="15" s="1"/>
  <c r="A206" i="16"/>
  <c r="P1" i="15" l="1"/>
  <c r="O1" i="15" s="1"/>
  <c r="J6" i="15" s="1"/>
  <c r="B2" i="15" l="1"/>
  <c r="Q1" i="15"/>
  <c r="K1" i="15" s="1"/>
  <c r="Q1" i="17" s="1"/>
  <c r="J14" i="15"/>
  <c r="AB1" i="17"/>
</calcChain>
</file>

<file path=xl/sharedStrings.xml><?xml version="1.0" encoding="utf-8"?>
<sst xmlns="http://schemas.openxmlformats.org/spreadsheetml/2006/main" count="558" uniqueCount="204">
  <si>
    <t>Dansk</t>
  </si>
  <si>
    <t>A</t>
  </si>
  <si>
    <t>Engelsk</t>
  </si>
  <si>
    <t>Matematik</t>
  </si>
  <si>
    <t>C</t>
  </si>
  <si>
    <t>Samfundsfag</t>
  </si>
  <si>
    <t>B</t>
  </si>
  <si>
    <t>Studieretningsprojekt</t>
  </si>
  <si>
    <t>Tysk</t>
  </si>
  <si>
    <t>Spansk</t>
  </si>
  <si>
    <t>Valgfag</t>
  </si>
  <si>
    <t>VÆLG</t>
  </si>
  <si>
    <t>2. fremmedsprog:</t>
  </si>
  <si>
    <t>Studieretninger:</t>
  </si>
  <si>
    <t>2. fremmedsprog</t>
  </si>
  <si>
    <t>Studieretninger, fag:</t>
  </si>
  <si>
    <t>Mediefag</t>
  </si>
  <si>
    <t>Psykologi</t>
  </si>
  <si>
    <t>Valgfag 1:</t>
  </si>
  <si>
    <t>Valgfag 2:</t>
  </si>
  <si>
    <t xml:space="preserve"> </t>
  </si>
  <si>
    <t>Studieretning</t>
  </si>
  <si>
    <t>Obligatoriske fag og projekter</t>
  </si>
  <si>
    <t>Dit samlede timetal</t>
  </si>
  <si>
    <t>Beregning af studieretning:</t>
  </si>
  <si>
    <t>Antal fag:</t>
  </si>
  <si>
    <t>Antal A fag:</t>
  </si>
  <si>
    <t>Antal B fag:</t>
  </si>
  <si>
    <t>Antal valgfag:</t>
  </si>
  <si>
    <t>Gyldig studieretning</t>
  </si>
  <si>
    <t>Antal C fag:</t>
  </si>
  <si>
    <t>Obligatoriske fag</t>
  </si>
  <si>
    <t>Løft</t>
  </si>
  <si>
    <t>&gt;&gt; Se din studieretning i grafik &lt;&lt;</t>
  </si>
  <si>
    <t>Home</t>
  </si>
  <si>
    <t>Antal blokke</t>
  </si>
  <si>
    <t>Fysik</t>
  </si>
  <si>
    <t>Bioteknologi</t>
  </si>
  <si>
    <t>Kemi</t>
  </si>
  <si>
    <t>Biologi</t>
  </si>
  <si>
    <t>Studieretningsfag</t>
  </si>
  <si>
    <t>Naturvidenskab</t>
  </si>
  <si>
    <t>Idræt</t>
  </si>
  <si>
    <t>&gt;&gt; Tilbage til din studieretning &lt;&lt;</t>
  </si>
  <si>
    <t>Blokke A-niveau</t>
  </si>
  <si>
    <t>Blokke B-niveau</t>
  </si>
  <si>
    <t>Data til studieretningsberegner - må ikke ændres</t>
  </si>
  <si>
    <t>Historie</t>
  </si>
  <si>
    <t>Oldtidskundskab</t>
  </si>
  <si>
    <t>Religion</t>
  </si>
  <si>
    <t>STX - Din studieretning</t>
  </si>
  <si>
    <t>STX</t>
  </si>
  <si>
    <t>Naturgeografi</t>
  </si>
  <si>
    <t>Kunstnerisk fag</t>
  </si>
  <si>
    <t>Musik</t>
  </si>
  <si>
    <t>Minimum timetal</t>
  </si>
  <si>
    <r>
      <t xml:space="preserve">STX - </t>
    </r>
    <r>
      <rPr>
        <b/>
        <i/>
        <sz val="28"/>
        <color theme="0"/>
        <rFont val="Calibri"/>
        <family val="2"/>
        <scheme val="minor"/>
      </rPr>
      <t>Grafisk model</t>
    </r>
  </si>
  <si>
    <t>Kunst.</t>
  </si>
  <si>
    <t>Løft af fag *</t>
  </si>
  <si>
    <t>Informatik</t>
  </si>
  <si>
    <t>2. sprog</t>
  </si>
  <si>
    <t>Samfundsvidenskab</t>
  </si>
  <si>
    <t>Filosofi</t>
  </si>
  <si>
    <t>Naturvidenskabeligt Grundforløb</t>
  </si>
  <si>
    <t>Studieretningsfag:</t>
  </si>
  <si>
    <t>Info om Studieretningen:</t>
  </si>
  <si>
    <t>Individuel pulje</t>
  </si>
  <si>
    <t>Fransk</t>
  </si>
  <si>
    <t>Fransk F</t>
  </si>
  <si>
    <t>Studieretning:</t>
  </si>
  <si>
    <t>2. Fremmedsprog:</t>
  </si>
  <si>
    <t>Kunstnerisk fag:</t>
  </si>
  <si>
    <t>Astronomi</t>
  </si>
  <si>
    <t>Valgfag på C-niveau</t>
  </si>
  <si>
    <t>Erhvervsøkonomi</t>
  </si>
  <si>
    <t>Løft af fag på B-niveau</t>
  </si>
  <si>
    <t xml:space="preserve"> Slagelse Gymnasium</t>
  </si>
  <si>
    <t>Sammen åbner vi verden</t>
  </si>
  <si>
    <t>Drama</t>
  </si>
  <si>
    <t>Billedkunst</t>
  </si>
  <si>
    <t>I matematik lærer du om naturvidenskabelige teorier og erfaringer. Du kommer til at beskæftige dig med den fysiske omverden på jorden og i universet. I fysik og kemi vil du skulle lave en del eksperimentelt arbejde. Denne studieretning giver dig direkte adgang til de fleste videregående uddannelser inden for naturvidenskab, samfundsfag og humaniora.</t>
  </si>
  <si>
    <t>Latin</t>
  </si>
  <si>
    <t>Statistik</t>
  </si>
  <si>
    <t>Løft af fag til B-niveau</t>
  </si>
  <si>
    <t>Løft af fag på A-niveau</t>
  </si>
  <si>
    <t>HF</t>
  </si>
  <si>
    <t>Fagpakke</t>
  </si>
  <si>
    <t>Geografi</t>
  </si>
  <si>
    <t>Projekt- og praktikforløb</t>
  </si>
  <si>
    <t>Større skriftlig opgave</t>
  </si>
  <si>
    <t>Eksamensprojekt</t>
  </si>
  <si>
    <t>Slagelse Gymnasium</t>
  </si>
  <si>
    <t>Info om Fagpakken:</t>
  </si>
  <si>
    <t>Fag i din Fagpakke:</t>
  </si>
  <si>
    <t>* Løft er afhængig af dine øvrige valg</t>
  </si>
  <si>
    <t>Kunstnerisk fag eller idræt C**</t>
  </si>
  <si>
    <t>SAMMEN ÅBNER VI VERDEN / HF FAGPAKKER</t>
  </si>
  <si>
    <t>Med denne pakke kan du løfte psykologi til B-niveau</t>
  </si>
  <si>
    <t xml:space="preserve">Inden du vælger hf og valgfag, kan du orientere dig om de specifikke adgangskrav til optagelse på de videregående uddannelser på adgangskortet </t>
  </si>
  <si>
    <t>Fagpakke:</t>
  </si>
  <si>
    <t>Fag i fagpakken:</t>
  </si>
  <si>
    <t>&gt;&gt; Se din HF uddannelse i grafik &lt;&lt;</t>
  </si>
  <si>
    <t>FAGPAKKE #1 Ma og ps</t>
  </si>
  <si>
    <t>FAGPAKKE #2 Ma og Sa</t>
  </si>
  <si>
    <t>FAGPAKKE #3 Ma og id</t>
  </si>
  <si>
    <t>FAGPAKKE #4 Id og Bi</t>
  </si>
  <si>
    <t>FAGPAKKE #5 Sa og ps</t>
  </si>
  <si>
    <t>FAGPAKKE #7 Sa og Me</t>
  </si>
  <si>
    <t>FAGPAKKE #8 Re og ps</t>
  </si>
  <si>
    <t>&gt;&gt; Tilbage til HF beregning &lt;&lt;</t>
  </si>
  <si>
    <t>Vi er nysgerrige og udfordrer den enkelte fagligt og personligt</t>
  </si>
  <si>
    <t>Vi tager ansvar og skaber plads til drømme</t>
  </si>
  <si>
    <t>Kinesisk</t>
  </si>
  <si>
    <t>Italiensk</t>
  </si>
  <si>
    <t>Sprog</t>
  </si>
  <si>
    <t>kunst</t>
  </si>
  <si>
    <t>HF - Din Fagpakke</t>
  </si>
  <si>
    <t>FAGPAKKE #6 Sa og erh</t>
  </si>
  <si>
    <t>Kreativt fag</t>
  </si>
  <si>
    <t>Sprogfag</t>
  </si>
  <si>
    <t>Antal sprogfag:</t>
  </si>
  <si>
    <t>Antal naturvidenskabelige fag:</t>
  </si>
  <si>
    <t>naturvidenskabelige fag</t>
  </si>
  <si>
    <t>Antal naturvidenskabelige fag på B eller A niveau</t>
  </si>
  <si>
    <t>nv fag niveau</t>
  </si>
  <si>
    <t>§25 12) stk2</t>
  </si>
  <si>
    <t>§25 12) stk1</t>
  </si>
  <si>
    <t>§25 12) stk3</t>
  </si>
  <si>
    <t>§25 12) stk4</t>
  </si>
  <si>
    <t>§25 12) stk5</t>
  </si>
  <si>
    <r>
      <t>Stk. 5.</t>
    </r>
    <r>
      <rPr>
        <sz val="10"/>
        <color rgb="FF000000"/>
        <rFont val="Tahoma"/>
        <family val="2"/>
      </rPr>
      <t> Elever, der følger en studieretning inden for hovedområdet »Sprog«, jf. bilag 1, kan udskifte et af de i stk. 1, nr. 12, nævnte fag med latin.</t>
    </r>
  </si>
  <si>
    <t>naturvidenskab</t>
  </si>
  <si>
    <r>
      <t xml:space="preserve">HF - </t>
    </r>
    <r>
      <rPr>
        <b/>
        <i/>
        <sz val="28"/>
        <color theme="0"/>
        <rFont val="Calibri"/>
        <family val="2"/>
        <scheme val="minor"/>
      </rPr>
      <t>Grafisk model</t>
    </r>
  </si>
  <si>
    <t>Denne studieretning er for dig, der interesserer dig for matematik på et højt niveau og for de grundlæggende naturvidenskabelige fag.</t>
  </si>
  <si>
    <t xml:space="preserve">Denne studieretning er for dig, der interesserer dig for naturvidenskabelig teori, der kan overføres til praksis. </t>
  </si>
  <si>
    <t>Denne studieretning er for dig, der er vild med idræt og som interesserer dig for samfundsforhold.</t>
  </si>
  <si>
    <r>
      <t>Denne studieretning er for dig, der ønsker at arbejde med de mere abstrakte og teoretiske sider af de to studieretningsfag.</t>
    </r>
    <r>
      <rPr>
        <sz val="11"/>
        <color rgb="FF000000"/>
        <rFont val="Calibri"/>
        <family val="2"/>
        <scheme val="minor"/>
      </rPr>
      <t xml:space="preserve"> </t>
    </r>
  </si>
  <si>
    <r>
      <t>Denne studieretning er for dig, der er interesserer dig for sociologiske og internationale forhold.</t>
    </r>
    <r>
      <rPr>
        <sz val="11"/>
        <color rgb="FF222222"/>
        <rFont val="Calibri"/>
        <family val="2"/>
        <scheme val="minor"/>
      </rPr>
      <t xml:space="preserve"> </t>
    </r>
  </si>
  <si>
    <r>
      <t xml:space="preserve">Denne studieretning er for dig, der elsker sprog. Du vil gerne </t>
    </r>
    <r>
      <rPr>
        <b/>
        <sz val="11"/>
        <color rgb="FF222222"/>
        <rFont val="Calibri"/>
        <family val="2"/>
        <scheme val="minor"/>
      </rPr>
      <t>udforske sprog, kultur og samfundsforhold i Europa og på tværs af kontinenterne.</t>
    </r>
    <r>
      <rPr>
        <b/>
        <sz val="11"/>
        <color rgb="FF000000"/>
        <rFont val="Calibri"/>
        <family val="2"/>
        <scheme val="minor"/>
      </rPr>
      <t> </t>
    </r>
  </si>
  <si>
    <r>
      <t>Denne studieretning har et globalt og internationalt udsyn. Der er særligt fokus på den engelsk- og tysksprogede verden og den påvirkning Danmark udsættes for i en globaliseret verden.</t>
    </r>
    <r>
      <rPr>
        <sz val="11"/>
        <color rgb="FF000000"/>
        <rFont val="Calibri"/>
        <family val="2"/>
        <scheme val="minor"/>
      </rPr>
      <t xml:space="preserve"> </t>
    </r>
  </si>
  <si>
    <t xml:space="preserve">Denne studieretning har et globalt og internationalt udsyn. Der er særligt fokus på den engelsk- og fransksprogede verden og den påvirkning Danmark udsættes for i en globaliseret verden. </t>
  </si>
  <si>
    <r>
      <t>Denne studieretning er for dig, der har stor interesse for musik og måske selv dyrker musikken aktivt i din fritid.</t>
    </r>
    <r>
      <rPr>
        <sz val="11"/>
        <color rgb="FF000000"/>
        <rFont val="Calibri"/>
        <family val="2"/>
        <scheme val="minor"/>
      </rPr>
      <t xml:space="preserve"> </t>
    </r>
  </si>
  <si>
    <t xml:space="preserve">Du interesserer dig for mennesket som biologisk væsen og kommer til at arbejde med kroppens fysiologi og kemiske reaktioner. Den teoretiske viden afprøves i laboratoriearbejde og felteksperimenter i naturen. Du vil få indsigt i bioteknologi, og du vil være klædt på til videregående uddannelser inden for sundheds-, og naturvidenskabelige områder. </t>
  </si>
  <si>
    <t>Du skal beskæftige dig med både spansk, engelsk og tysk i skrift og tale, og du opnår derfor stor viden om sprogenes opbygning. Derudover skal du lære om de engelsk-, spansk-, og tysktalende landes musik, litteratur og kunst. Studieretningen giver adgang til de fleste humanistiske uddannelser.</t>
  </si>
  <si>
    <t>Studieretningen har både en praktisk og en teoretisk side. Du skal selv spille og synge, og du skal lære noder og rytmer. Vi lytter til musik, arbejder med musikhistorien og analyserer både klassisk og rytmisk musik. Som musikelev er du med til at præge livet på skolen, da musikholdene optræder ved forskellige lejligheder, f.eks. til morgensamling, forårskoncert og dimission. Kombinationen af musik med engelsk giver gode muligheder for, at man på denne studieretning kan beskæftige sig med musik og musikkultur fra engelsksprogede lande. Studieretningen giver adgang til de fleste humanistiske og flere samfundsvidenskabelige uddannelser.</t>
  </si>
  <si>
    <t>STUDIERETNING #1 (Ma, Fy, Ke)</t>
  </si>
  <si>
    <t>STUDIERETNING #2 (Ma, Bt, Fy)</t>
  </si>
  <si>
    <t>STUDIERETNING #3 (Bi, Ke)</t>
  </si>
  <si>
    <t>STUDIERETNING #4 (Id, Sa, Ma)</t>
  </si>
  <si>
    <t>STUDIERETNING #5 (Sa, Ma)</t>
  </si>
  <si>
    <t>STUDIERETNING #6 (En, Sa)</t>
  </si>
  <si>
    <t>STUDIERETNING #7 (En, Sa)</t>
  </si>
  <si>
    <t>STUDIERETNING #8 (En, Sp, Ty)</t>
  </si>
  <si>
    <t>STUDIERETNING #9 (En, Ty, Sa)</t>
  </si>
  <si>
    <t>STUDIERETNING #10 (En, Fr, Sa)</t>
  </si>
  <si>
    <t>STUDIERETNING #11 (Mu, En)</t>
  </si>
  <si>
    <t>Fagpakken har fokus på job og uddannelser, hvor det kræves at man har haft matematik og fået de kompetencer faget giver inden for blandt logisk tænkning og ræsonnement, fx ejendomsmægler, datamatiker og finansiel rådgiver. Samtidig får du mulighed for at pleje din interesse for psykologifaget.</t>
  </si>
  <si>
    <t>Fagpakken har fokus på job og uddannelser, hvor det kræves at man har haft matematik og fået de kompetencer faget giver inden for blandt logisk tænkning og ræsonnement, fx ejendomsmægler, datamatiker og finansiel rådgiver. Samtidig får du mulighed for at pleje din interesse for samfundsfag.</t>
  </si>
  <si>
    <t xml:space="preserve">Fagpakken har fokus på job og uddannelser, hvor man arbejder med at holde andre mennesker sunde og raske, fx bioanalytiker, sygeplejerske, fysioterapeut og politi. Her får du i begge fag kendskab til, hvordan kroppen fungerer. Du lærer også om sammenhænge mellem træning og ernæring i forhold til fysisk og mental sundhed. </t>
  </si>
  <si>
    <t>Fagpakken har fokus på job og uddannelser, hvor det kræves at man har haft matematik og fået de kompetencer faget giver inden for blandt logisk tænkning og ræsonnement, fx ejendomsmægler, datamatiker og finansiel rådgiver. Samtidig får du mulighed for at pleje din interesse for idræt</t>
  </si>
  <si>
    <t>Fagpakken har fokus på job og uddannelser, hvor du har kontakt med mange forskellige mennesker med mange forskellige syn på verden, fx socialrådgiver, pædagog, lærer og politi. Pakkens to fag giver dig en god forståelse af menneskelig udvikling og adfærdsmønstre, ligesom du får stor indsigt i det kulturelle og religiøses betydning for menneskers adfærd og forestillinger.</t>
  </si>
  <si>
    <t>Fagpakken har fokus på job og uddannelser, hvor du har meget kontakt med mennesker, fx lærer, socialrådgiver og pædagog. Samfundsfag klæder dig på til at skulle kunne være en vigtig medspiller i samfundet, og psykologi giver dig en grundlæggende indsigt i menneskelig udvikling og adfærdsmønstre.</t>
  </si>
  <si>
    <t>Fagpakken har fokus på job og uddannelser inden for handel og kontor, fx regnskabsmedarbejder, ejendomsmægler, kontorfunktionær og finansøkonom. Samfundsfag klæder dig på til at skulle være en vigtig medspiller i samfundet og erhvervsøkonomi giver dig en grundlæggende indsigt i virksomheders økonomi og samspil med omverdenen.</t>
  </si>
  <si>
    <t xml:space="preserve">Fagpakken har fokus job og uddannelser i mediebranchen. Det er et jobområde, der er i stadig vækst, fx multimediedesigner, TV- og medietilrettelægger, animator og design. Inden for denne branche er det også vigtigt at vide noget om, hvordan vores samfund hænger sammen, ligesom mediefag giver dig den grundlæggende indsigt i produktion og analyse af levende billeder. </t>
  </si>
  <si>
    <t>Hvis du vil vælge denne pakke, er det en forudsætning at du vælger faget idræt, inden du starter. </t>
  </si>
  <si>
    <t>Hvis du vil vælge denne pakke, er det en forudsætning at du vælger faget mediefag, inden du starter.</t>
  </si>
  <si>
    <t>Naturvidenskabelige fag i 1g</t>
  </si>
  <si>
    <t>Naturvidenskabelige fag i 2g</t>
  </si>
  <si>
    <t>Naturvidenskabelige (nat) fag</t>
  </si>
  <si>
    <t>Naturvidenskabelige fag i 3g</t>
  </si>
  <si>
    <t>Naturvidenskabeligt valgfag i 1.g</t>
  </si>
  <si>
    <t>Frie valgfag i 3.g</t>
  </si>
  <si>
    <t>Dramatik</t>
  </si>
  <si>
    <t>ikke i brug</t>
  </si>
  <si>
    <t>ej</t>
  </si>
  <si>
    <t>Valgfag 1</t>
  </si>
  <si>
    <t>Valgfag 2</t>
  </si>
  <si>
    <t>To af følgende naturvidenskabelige fag på C-niveau: biologi, informatik, kemi eller naturgeografi.</t>
  </si>
  <si>
    <r>
      <t>Stk. 2.</t>
    </r>
    <r>
      <rPr>
        <sz val="10"/>
        <color rgb="FF000000"/>
        <rFont val="Tahoma"/>
        <family val="2"/>
      </rPr>
      <t> Elever, der ikke følger en studieretning inden for »Naturvidenskab», skal afslutte mindst et af de naturvidenskabelige fag efter stk. 1, nr. 3 og 12, på mindst B-niveau. Dette gælder dog ikke elever, der har mindst tre fremmedsprog.</t>
    </r>
  </si>
  <si>
    <r>
      <t>Stk. 3.</t>
    </r>
    <r>
      <rPr>
        <sz val="10"/>
        <color rgb="FF000000"/>
        <rFont val="Tahoma"/>
        <family val="2"/>
      </rPr>
      <t> Elever, der ikke følger en studieretning inden for »Naturvidenskab«, fritages for kravet om to naturvidenskabelige fag efter stk. 1, nr. 12, hvis de afslutter et af disse fag på mindst B-niveau og faget fysik på mindst B-niveau. Elever, der har mindst tre fremmedsprog, fritages for kravet om to naturvidenskabelige fag efter stk. 1, nr. 12, hvis de afslutter et af disse fag eller faget fysik på mindst B-niveau.</t>
    </r>
  </si>
  <si>
    <r>
      <t>Stk. 4.</t>
    </r>
    <r>
      <rPr>
        <sz val="10"/>
        <color rgb="FF000000"/>
        <rFont val="Tahoma"/>
        <family val="2"/>
      </rPr>
      <t xml:space="preserve"> Elever, der følger en studieretning inden for »Naturvidenskab«, skal have tre af de naturvidenskabelige fag efter stk. 1, nr. 12, medmindre elevens naturvidenskabelige fag efter stk. 1, nr. 3 og 12, enten alle er på mindst B-niveau eller er på A-, B- og C-niveau. Elever, der afslutter faget bioteknologi på A-niveau, anses for at have fagene biologi og kemi på B-niveau. </t>
    </r>
  </si>
  <si>
    <t>Frie valgfag og løft</t>
  </si>
  <si>
    <t>Kreafag</t>
  </si>
  <si>
    <t>Kreativt fag:</t>
  </si>
  <si>
    <t>Hvis du brænder for naturvidenskab, kan du se frem til mange spændende aktiviteter både i og uden for undervisningslokalet. Her lærer du, hvordan naturen fungerer og lærer at opstille og afprøve modeller samt kombinere teori med praktiske forsøg. Du kan deltage i temadage, naturvidenskabelige café-eftermiddage, nationale konkurrencer, udendørs laboratoriearbejde, projektarbejde på en lokal virksomhed og meget meget mere. Faktisk er vores arbejde med naturvidenskab et fokusområde i disse år, hvor vi opjusterer vores laboratoriefaciliteter, ligesom vores dygtige naturvidenskabslærere efteruddannes for at gøre undervisningen endnu mere moderne. Så hvis du vil være en del af det, så skal du vælge Slagelse Gymnasium som stedet, hvor din naturvidenskabelige rejse begynder.</t>
  </si>
  <si>
    <t>Elevrådet er stedet, hvor du kan påvirke livet på Slagelse Gymnasium, stedet hvor du kan debattere frit, stedet hvor du kan komme med dine problemer og løsninger, stedet hvor du kan ændre noget, men frem for alt er elevrådet stedet, hvor din stemme bliver hørt. Elevrådet er en vigtig del af det forpligtende fællesskab på Slagelse Gymnasium.</t>
  </si>
  <si>
    <t>Du synes, at det er interessant at arbejde med kroppen både teoretisk og praktisk. Du kommer til at udvikle dine idrætsfaglige kompetencer og få kendskab til idrættens videnskabsområder. Du kommer også til at arbejde med krop og idræt i et sociologisk perspektiv. Du vil arbejde med økonomi, sociologi og national og international politik i samfundsfag. Denne studieretning er kompetencegivende til flere videregående uddannelser.</t>
  </si>
  <si>
    <t>Du får et dybt kendskab til matematiske redskaber og forståelse for, hvordan disse anvendes i samfundsfag og i andre fag. Du interesserer dig også for politik, økonomi og for hvordan vi skaber vores identitet og tilpasser os en verden i hurtig forandring. Studieretningen giver adgang til de fleste samfundsvidenskabelige, økonomiske og humanistiske uddannelser.</t>
  </si>
  <si>
    <r>
      <t xml:space="preserve">Du vil komme til at arbejde med politik, kulturmøder, økonomi, kommunikation og sprog. </t>
    </r>
    <r>
      <rPr>
        <sz val="11"/>
        <color rgb="FF000000"/>
        <rFont val="Calibri"/>
        <family val="2"/>
        <scheme val="minor"/>
      </rPr>
      <t>I engelsk skal du arbejde med engelsksproget kultur og samfundsforhold samtidig med, at dine skriftlige og mundtlige færdigheder udvikles. Studieretningen giver adgang til de fleste samfundsvidenskabelige, økonomiske og humanistiske uddannelser.</t>
    </r>
  </si>
  <si>
    <t xml:space="preserve">Denne studieretning, Global Society Class (GSC) er for dig, der er særlig interesseret i engelsk og internationale og globale forhold og gerne vil mere med dine engelskkundskaber. </t>
  </si>
  <si>
    <t>Du interesserer dig for sprog, politik og for, hvordan vi skaber vores identitet og tilpasser os en verden i hurtig forandring. På studieretningen beskæftiger vi os med engelsk og tysk i tale og skrift, og du opnår derfor stor viden om sprogene. Derudover skal du lære om de engelsk-, og tysktalende landes samfundsforhold, litteratur og kultur. Studieretningen giver adgang til de fleste samfundsvidenskabelige, økonomiske og humanistiske uddannelser.</t>
  </si>
  <si>
    <t>Der vil være eksperimenter i både laboratoriet og i forbindelse med ekskursioner. På studieretningen vil der være fokus på bl.a. sundhed, gensplejsning, medicin og miljø. Der bliver arbejdet med modeller og fysiske love, og din evne til logisk tænkning og abstraktion vil blive styrket. Denne studieretning er kompetencegivende til flere videregående uddannelser.</t>
  </si>
  <si>
    <t>Du vil få en meget stærk kompetence i det engelske sprog, da der undervises på engelsk i følgende fag: engelsk, historie, samfundsfag, religion og oldtidskundskab. Studieretningen er derfor et godt udgangspunkt for at kunne fortsætte den videregående uddannelse i et internationalt perspektiv. På denne studieretning kommer du til at rejse alle tre år. Studieretningen giver adgang til de fleste samfundsvidenskabelige, økonomiske og humanistiske uddannelser.</t>
  </si>
  <si>
    <t>Du interesserer dig for sprog, politik og for, hvordan vi skaber vores identitet og tilpasser os en verden i hurtig forandring. På studieretningen beskæftiger vi os med engelsk og fransk i tale og skrift, og du opnår derfor stor viden om sprogene. Derudover skal du lære om de engelsk-, og fransktalende landes samfundsforhold, litteratur og kultur. Studieretningen giver adgang til de fleste samfundsvidenskabelige, økonomiske og humanistiske uddannelser.</t>
  </si>
  <si>
    <t>Slagelse Gymnasium er en del af netværket Globale Gymnasier, som arbejder med uddannelse og dannelse i et globalt perspektiv. Vi tilbyder en lang række forskellige internationale udvekslinger. Vi har en venskabsskole i Wenzhou i Kina, som vi laver en årlig udveksling med. På denne tur bor vores elever på skolen sammen med de kinesiske elever, da det er en kostskole. Når de kinesiske elever besøger os, bor de hos de danske elever og deres familier. Vi har også en venskabsskole i Concord, Boston i USA. I Concord er vores elever privat indkvarteret, og det samme er tilfældet, når eleverne kommer her. For de af vores elever, der har valgt italiensk som andet fremmedsprog, laver vi en årlig udveksling med vores venskabsskole i Italien. Fra skoleåret 2019-2020 har vi startet et samarbejde med en skole på Gran Canaria.</t>
  </si>
  <si>
    <t>Musik er det det eneste kunstneriske fag, der indgår i en studieretning som et A-niveau fag. Hvis du overvejer at vælge studieretningen MuA EnA, bør du vælge MuC som dit kunstneriske fag, da MuA bygger videre på det, der arbejdes med på MuC. Musik C er et fag, der kobler musikteori og praktisk musik sammen. Du lærer om toner og noder og musikkens opbygning; samtidig kommer du til at spille og synge danske og udenlandske sange. I faget ligger der en introduktion til de forskellige rytmiske instrumenter; såsom klaver, guitar, bas og trommer. Det er vigtigt at understrege, at det IKKE kræver, at man kan spille et instrument i forvejen. Sværhedsgraden bliver tilpasset holdet. Musik er faget for dig, der elsker musikken, og som vil arbejde med alle aspekter af den.</t>
  </si>
  <si>
    <t>A fag</t>
  </si>
  <si>
    <t>B fag</t>
  </si>
  <si>
    <t>C fag</t>
  </si>
  <si>
    <t>natur. fag</t>
  </si>
  <si>
    <t>natur. Fag A eller B</t>
  </si>
  <si>
    <t>Vi har et stærkt fællesskab præget af gensidig respekt</t>
  </si>
  <si>
    <r>
      <t>Denne studieretning er for dig, der</t>
    </r>
    <r>
      <rPr>
        <b/>
        <sz val="11.5"/>
        <color rgb="FF000000"/>
        <rFont val="Calibri"/>
        <family val="2"/>
        <scheme val="minor"/>
      </rPr>
      <t xml:space="preserve"> interesserer dig for naturvidenskab. Du kan se dig selv som en del af sundhedsindustrien, miljøarbejdet eller forskningen i fremtiden. </t>
    </r>
    <r>
      <rPr>
        <b/>
        <sz val="11"/>
        <color rgb="FF000000"/>
        <rFont val="Calibri"/>
        <family val="2"/>
        <scheme val="minor"/>
      </rPr>
      <t> </t>
    </r>
  </si>
  <si>
    <t>Studiestart august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</si>
</sst>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7"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24"/>
      <color theme="1"/>
      <name val="Calibri"/>
      <family val="2"/>
      <scheme val="minor"/>
    </font>
    <font>
      <b/>
      <sz val="28"/>
      <color theme="0"/>
      <name val="Calibri"/>
      <family val="2"/>
      <scheme val="minor"/>
    </font>
    <font>
      <b/>
      <i/>
      <sz val="14"/>
      <color rgb="FFFFC000"/>
      <name val="Calibri"/>
      <family val="2"/>
      <scheme val="minor"/>
    </font>
    <font>
      <sz val="11"/>
      <color theme="8" tint="-0.499984740745262"/>
      <name val="Calibri"/>
      <family val="2"/>
      <scheme val="minor"/>
    </font>
    <font>
      <i/>
      <u/>
      <sz val="11"/>
      <color theme="0"/>
      <name val="Calibri"/>
      <family val="2"/>
      <scheme val="minor"/>
    </font>
    <font>
      <b/>
      <i/>
      <sz val="11"/>
      <color theme="0"/>
      <name val="Calibri"/>
      <family val="2"/>
      <scheme val="minor"/>
    </font>
    <font>
      <i/>
      <sz val="11"/>
      <color theme="0"/>
      <name val="Calibri"/>
      <family val="2"/>
      <scheme val="minor"/>
    </font>
    <font>
      <i/>
      <sz val="11"/>
      <color theme="4" tint="0.39997558519241921"/>
      <name val="Calibri"/>
      <family val="2"/>
      <scheme val="minor"/>
    </font>
    <font>
      <b/>
      <i/>
      <sz val="11"/>
      <color rgb="FFFFFF00"/>
      <name val="Calibri"/>
      <family val="2"/>
      <scheme val="minor"/>
    </font>
    <font>
      <sz val="11"/>
      <name val="Calibri"/>
      <family val="2"/>
      <scheme val="minor"/>
    </font>
    <font>
      <b/>
      <i/>
      <sz val="11"/>
      <color rgb="FFFFC000"/>
      <name val="Calibri"/>
      <family val="2"/>
      <scheme val="minor"/>
    </font>
    <font>
      <b/>
      <i/>
      <sz val="11"/>
      <color theme="8" tint="-0.499984740745262"/>
      <name val="Calibri"/>
      <family val="2"/>
      <scheme val="minor"/>
    </font>
    <font>
      <i/>
      <sz val="11"/>
      <color rgb="FFFFFF00"/>
      <name val="Calibri"/>
      <family val="2"/>
      <scheme val="minor"/>
    </font>
    <font>
      <u/>
      <sz val="11"/>
      <color theme="0"/>
      <name val="Calibri"/>
      <family val="2"/>
      <scheme val="minor"/>
    </font>
    <font>
      <b/>
      <sz val="26"/>
      <color theme="0"/>
      <name val="Calibri"/>
      <family val="2"/>
      <scheme val="minor"/>
    </font>
    <font>
      <b/>
      <i/>
      <sz val="28"/>
      <color theme="0"/>
      <name val="Calibri"/>
      <family val="2"/>
      <scheme val="minor"/>
    </font>
    <font>
      <sz val="1"/>
      <color theme="8" tint="-0.499984740745262"/>
      <name val="Calibri"/>
      <family val="2"/>
      <scheme val="minor"/>
    </font>
    <font>
      <u/>
      <sz val="11"/>
      <color theme="10"/>
      <name val="Calibri"/>
      <family val="2"/>
      <scheme val="minor"/>
    </font>
    <font>
      <b/>
      <i/>
      <sz val="28"/>
      <color theme="1"/>
      <name val="Calibri"/>
      <family val="2"/>
      <scheme val="minor"/>
    </font>
    <font>
      <sz val="2"/>
      <color theme="2" tint="-0.749992370372631"/>
      <name val="Calibri"/>
      <family val="2"/>
      <scheme val="minor"/>
    </font>
    <font>
      <sz val="2"/>
      <color theme="8" tint="-0.499984740745262"/>
      <name val="Calibri"/>
      <family val="2"/>
      <scheme val="minor"/>
    </font>
    <font>
      <sz val="11"/>
      <color rgb="FF4D4D4D"/>
      <name val="Calibri"/>
      <family val="2"/>
      <scheme val="minor"/>
    </font>
    <font>
      <sz val="11"/>
      <color rgb="FFFF0000"/>
      <name val="Calibri"/>
      <family val="2"/>
      <scheme val="minor"/>
    </font>
    <font>
      <sz val="11"/>
      <color theme="5" tint="-0.249977111117893"/>
      <name val="Calibri"/>
      <family val="2"/>
      <scheme val="minor"/>
    </font>
    <font>
      <sz val="11"/>
      <color theme="5" tint="-0.499984740745262"/>
      <name val="Calibri"/>
      <family val="2"/>
      <scheme val="minor"/>
    </font>
    <font>
      <sz val="11"/>
      <color theme="3" tint="0.79998168889431442"/>
      <name val="Calibri"/>
      <family val="2"/>
      <scheme val="minor"/>
    </font>
    <font>
      <b/>
      <i/>
      <sz val="14"/>
      <color theme="0"/>
      <name val="Calibri"/>
      <family val="2"/>
      <scheme val="minor"/>
    </font>
    <font>
      <sz val="11"/>
      <color theme="4" tint="-0.499984740745262"/>
      <name val="Calibri"/>
      <family val="2"/>
      <scheme val="minor"/>
    </font>
    <font>
      <i/>
      <sz val="11"/>
      <color theme="9" tint="-0.249977111117893"/>
      <name val="Calibri"/>
      <family val="2"/>
      <scheme val="minor"/>
    </font>
    <font>
      <b/>
      <i/>
      <sz val="11"/>
      <color theme="9" tint="-0.249977111117893"/>
      <name val="Calibri"/>
      <family val="2"/>
      <scheme val="minor"/>
    </font>
    <font>
      <b/>
      <i/>
      <sz val="13"/>
      <color theme="9" tint="-0.249977111117893"/>
      <name val="Calibri"/>
      <family val="2"/>
      <scheme val="minor"/>
    </font>
    <font>
      <sz val="11"/>
      <color rgb="FF7030A0"/>
      <name val="Calibri"/>
      <family val="2"/>
      <scheme val="minor"/>
    </font>
    <font>
      <sz val="11"/>
      <color theme="0"/>
      <name val="Calibri"/>
      <family val="2"/>
    </font>
    <font>
      <b/>
      <sz val="14"/>
      <color theme="9"/>
      <name val="Calibri"/>
      <family val="2"/>
      <scheme val="minor"/>
    </font>
    <font>
      <b/>
      <sz val="55"/>
      <color theme="0"/>
      <name val="Arial"/>
      <family val="2"/>
    </font>
    <font>
      <sz val="10"/>
      <color rgb="FF1C1C1A"/>
      <name val="Calibri"/>
      <family val="2"/>
      <scheme val="minor"/>
    </font>
    <font>
      <sz val="11"/>
      <color theme="4" tint="0.39997558519241921"/>
      <name val="Calibri"/>
      <family val="2"/>
      <scheme val="minor"/>
    </font>
    <font>
      <b/>
      <sz val="36"/>
      <color theme="0"/>
      <name val="Calibri"/>
      <family val="2"/>
      <scheme val="minor"/>
    </font>
    <font>
      <sz val="11"/>
      <color theme="1"/>
      <name val="Arial"/>
      <family val="2"/>
    </font>
    <font>
      <sz val="11"/>
      <color theme="4" tint="-0.249977111117893"/>
      <name val="Calibri"/>
      <family val="2"/>
      <scheme val="minor"/>
    </font>
    <font>
      <b/>
      <i/>
      <sz val="11"/>
      <color theme="7" tint="-0.249977111117893"/>
      <name val="Calibri"/>
      <family val="2"/>
      <scheme val="minor"/>
    </font>
    <font>
      <u/>
      <sz val="11"/>
      <color theme="4" tint="-0.499984740745262"/>
      <name val="Calibri"/>
      <family val="2"/>
      <scheme val="minor"/>
    </font>
    <font>
      <i/>
      <sz val="11"/>
      <color theme="4" tint="-0.499984740745262"/>
      <name val="Calibri"/>
      <family val="2"/>
      <scheme val="minor"/>
    </font>
    <font>
      <b/>
      <sz val="11"/>
      <color theme="4" tint="-0.249977111117893"/>
      <name val="Calibri"/>
      <family val="2"/>
      <scheme val="minor"/>
    </font>
    <font>
      <b/>
      <i/>
      <sz val="11"/>
      <color theme="4" tint="-0.249977111117893"/>
      <name val="Calibri"/>
      <family val="2"/>
      <scheme val="minor"/>
    </font>
    <font>
      <b/>
      <i/>
      <sz val="16"/>
      <color theme="0"/>
      <name val="Calibri"/>
      <family val="2"/>
      <scheme val="minor"/>
    </font>
    <font>
      <b/>
      <sz val="72"/>
      <color theme="0"/>
      <name val="Calibri"/>
      <family val="2"/>
      <scheme val="minor"/>
    </font>
    <font>
      <b/>
      <sz val="48"/>
      <color theme="0"/>
      <name val="Arial"/>
      <family val="2"/>
    </font>
    <font>
      <sz val="14"/>
      <color theme="1"/>
      <name val="Calibri"/>
      <family val="2"/>
      <scheme val="minor"/>
    </font>
    <font>
      <i/>
      <sz val="14"/>
      <color theme="0"/>
      <name val="Calibri"/>
      <family val="2"/>
      <scheme val="minor"/>
    </font>
    <font>
      <sz val="14"/>
      <color theme="0"/>
      <name val="Calibri"/>
      <family val="2"/>
      <scheme val="minor"/>
    </font>
    <font>
      <sz val="8"/>
      <name val="Calibri"/>
      <family val="2"/>
      <scheme val="minor"/>
    </font>
    <font>
      <b/>
      <i/>
      <sz val="11"/>
      <color theme="1"/>
      <name val="Calibri"/>
      <family val="2"/>
      <scheme val="minor"/>
    </font>
    <font>
      <i/>
      <sz val="11"/>
      <color theme="1"/>
      <name val="Calibri"/>
      <family val="2"/>
      <scheme val="minor"/>
    </font>
    <font>
      <i/>
      <sz val="10"/>
      <color rgb="FF000000"/>
      <name val="Tahoma"/>
      <family val="2"/>
    </font>
    <font>
      <sz val="10"/>
      <color rgb="FF000000"/>
      <name val="Tahoma"/>
      <family val="2"/>
    </font>
    <font>
      <b/>
      <i/>
      <sz val="11"/>
      <color theme="9" tint="0.79998168889431442"/>
      <name val="Calibri"/>
      <family val="2"/>
      <scheme val="minor"/>
    </font>
    <font>
      <b/>
      <i/>
      <sz val="11"/>
      <color theme="4" tint="0.39997558519241921"/>
      <name val="Calibri"/>
      <family val="2"/>
      <scheme val="minor"/>
    </font>
    <font>
      <b/>
      <sz val="10"/>
      <color theme="0"/>
      <name val="Calibri"/>
      <family val="2"/>
      <scheme val="minor"/>
    </font>
    <font>
      <sz val="11"/>
      <color rgb="FF000000"/>
      <name val="Calibri"/>
      <family val="2"/>
      <scheme val="minor"/>
    </font>
    <font>
      <b/>
      <sz val="11"/>
      <color rgb="FF000000"/>
      <name val="Calibri"/>
      <family val="2"/>
      <scheme val="minor"/>
    </font>
    <font>
      <sz val="11"/>
      <color rgb="FF222222"/>
      <name val="Calibri"/>
      <family val="2"/>
      <scheme val="minor"/>
    </font>
    <font>
      <b/>
      <sz val="11"/>
      <color rgb="FF222222"/>
      <name val="Calibri"/>
      <family val="2"/>
      <scheme val="minor"/>
    </font>
    <font>
      <sz val="10"/>
      <color theme="1"/>
      <name val="Calibri"/>
      <family val="2"/>
      <scheme val="minor"/>
    </font>
    <font>
      <b/>
      <sz val="11"/>
      <color rgb="FFFF0000"/>
      <name val="Calibri"/>
      <family val="2"/>
      <scheme val="minor"/>
    </font>
    <font>
      <b/>
      <i/>
      <sz val="12"/>
      <color theme="9" tint="-0.249977111117893"/>
      <name val="Calibri"/>
      <family val="2"/>
      <scheme val="minor"/>
    </font>
    <font>
      <b/>
      <sz val="11"/>
      <color theme="9" tint="-0.249977111117893"/>
      <name val="Calibri"/>
      <family val="2"/>
      <scheme val="minor"/>
    </font>
    <font>
      <b/>
      <i/>
      <u/>
      <sz val="11"/>
      <color theme="9" tint="0.79998168889431442"/>
      <name val="Calibri"/>
      <family val="2"/>
      <scheme val="minor"/>
    </font>
    <font>
      <b/>
      <i/>
      <sz val="12"/>
      <color rgb="FFFF0000"/>
      <name val="Calibri"/>
      <family val="2"/>
      <scheme val="minor"/>
    </font>
    <font>
      <b/>
      <sz val="11"/>
      <color theme="9" tint="0.79998168889431442"/>
      <name val="Calibri"/>
      <family val="2"/>
      <scheme val="minor"/>
    </font>
    <font>
      <b/>
      <sz val="11"/>
      <color theme="5" tint="-0.249977111117893"/>
      <name val="Calibri"/>
      <family val="2"/>
      <scheme val="minor"/>
    </font>
    <font>
      <sz val="10"/>
      <color theme="3" tint="-0.499984740745262"/>
      <name val="Calibri"/>
      <family val="2"/>
      <scheme val="minor"/>
    </font>
    <font>
      <b/>
      <sz val="11.5"/>
      <color rgb="FF000000"/>
      <name val="Calibri"/>
      <family val="2"/>
      <scheme val="minor"/>
    </font>
  </fonts>
  <fills count="33">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FFFF00"/>
        <bgColor indexed="64"/>
      </patternFill>
    </fill>
    <fill>
      <patternFill patternType="solid">
        <fgColor rgb="FFC00000"/>
        <bgColor indexed="64"/>
      </patternFill>
    </fill>
    <fill>
      <patternFill patternType="solid">
        <fgColor rgb="FF92D050"/>
        <bgColor indexed="64"/>
      </patternFill>
    </fill>
    <fill>
      <patternFill patternType="solid">
        <fgColor rgb="FF4D4D4D"/>
        <bgColor indexed="64"/>
      </patternFill>
    </fill>
    <fill>
      <patternFill patternType="solid">
        <fgColor rgb="FFFF9900"/>
        <bgColor indexed="64"/>
      </patternFill>
    </fill>
    <fill>
      <patternFill patternType="solid">
        <fgColor rgb="FFFF0000"/>
        <bgColor indexed="64"/>
      </patternFill>
    </fill>
    <fill>
      <patternFill patternType="solid">
        <fgColor rgb="FFFFC000"/>
        <bgColor indexed="64"/>
      </patternFill>
    </fill>
    <fill>
      <patternFill patternType="solid">
        <fgColor rgb="FF7030A0"/>
        <bgColor indexed="64"/>
      </patternFill>
    </fill>
    <fill>
      <patternFill patternType="solid">
        <fgColor theme="9"/>
        <bgColor indexed="64"/>
      </patternFill>
    </fill>
    <fill>
      <patternFill patternType="solid">
        <fgColor theme="5" tint="-0.249977111117893"/>
        <bgColor indexed="64"/>
      </patternFill>
    </fill>
    <fill>
      <patternFill patternType="solid">
        <fgColor theme="5" tint="-0.49998474074526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59999389629810485"/>
        <bgColor indexed="64"/>
      </patternFill>
    </fill>
  </fills>
  <borders count="69">
    <border>
      <left/>
      <right/>
      <top/>
      <bottom/>
      <diagonal/>
    </border>
    <border>
      <left style="thin">
        <color theme="4" tint="-0.249977111117893"/>
      </left>
      <right/>
      <top style="thin">
        <color theme="4" tint="-0.249977111117893"/>
      </top>
      <bottom/>
      <diagonal/>
    </border>
    <border>
      <left/>
      <right/>
      <top/>
      <bottom style="thin">
        <color theme="3" tint="0.59999389629810485"/>
      </bottom>
      <diagonal/>
    </border>
    <border>
      <left style="thin">
        <color theme="3" tint="0.59999389629810485"/>
      </left>
      <right/>
      <top style="thin">
        <color theme="3" tint="0.59999389629810485"/>
      </top>
      <bottom style="thin">
        <color theme="3" tint="0.59999389629810485"/>
      </bottom>
      <diagonal/>
    </border>
    <border>
      <left/>
      <right style="thin">
        <color theme="3" tint="0.59999389629810485"/>
      </right>
      <top style="thin">
        <color theme="3" tint="0.59999389629810485"/>
      </top>
      <bottom style="thin">
        <color theme="3" tint="0.59999389629810485"/>
      </bottom>
      <diagonal/>
    </border>
    <border>
      <left/>
      <right/>
      <top style="thin">
        <color theme="3" tint="0.59999389629810485"/>
      </top>
      <bottom style="thin">
        <color theme="3" tint="0.59999389629810485"/>
      </bottom>
      <diagonal/>
    </border>
    <border>
      <left/>
      <right style="thin">
        <color theme="3" tint="0.59999389629810485"/>
      </right>
      <top/>
      <bottom/>
      <diagonal/>
    </border>
    <border>
      <left/>
      <right/>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theme="4" tint="0.39997558519241921"/>
      </right>
      <top/>
      <bottom/>
      <diagonal/>
    </border>
    <border>
      <left style="thin">
        <color theme="4" tint="0.39997558519241921"/>
      </left>
      <right/>
      <top/>
      <bottom/>
      <diagonal/>
    </border>
    <border>
      <left/>
      <right/>
      <top style="thin">
        <color theme="4" tint="0.39997558519241921"/>
      </top>
      <bottom/>
      <diagonal/>
    </border>
    <border>
      <left style="thin">
        <color theme="3" tint="0.59999389629810485"/>
      </left>
      <right/>
      <top style="thin">
        <color theme="4" tint="0.39997558519241921"/>
      </top>
      <bottom style="thin">
        <color theme="4" tint="0.39997558519241921"/>
      </bottom>
      <diagonal/>
    </border>
    <border>
      <left style="thin">
        <color theme="4" tint="0.39997558519241921"/>
      </left>
      <right style="thin">
        <color theme="4" tint="0.39997558519241921"/>
      </right>
      <top/>
      <bottom/>
      <diagonal/>
    </border>
    <border>
      <left style="thin">
        <color theme="4" tint="0.39997558519241921"/>
      </left>
      <right style="thin">
        <color theme="4" tint="0.39997558519241921"/>
      </right>
      <top/>
      <bottom style="thin">
        <color theme="4" tint="0.39997558519241921"/>
      </bottom>
      <diagonal/>
    </border>
    <border>
      <left style="thin">
        <color theme="3" tint="0.59999389629810485"/>
      </left>
      <right style="thin">
        <color theme="3" tint="0.59999389629810485"/>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3" tint="0.59999389629810485"/>
      </bottom>
      <diagonal/>
    </border>
    <border>
      <left/>
      <right/>
      <top style="thin">
        <color theme="3" tint="0.59999389629810485"/>
      </top>
      <bottom style="thin">
        <color theme="4" tint="0.39997558519241921"/>
      </bottom>
      <diagonal/>
    </border>
    <border>
      <left/>
      <right style="thin">
        <color theme="4" tint="0.39997558519241921"/>
      </right>
      <top style="thin">
        <color theme="3" tint="0.59999389629810485"/>
      </top>
      <bottom style="thin">
        <color theme="4" tint="0.39997558519241921"/>
      </bottom>
      <diagonal/>
    </border>
    <border>
      <left/>
      <right/>
      <top/>
      <bottom style="thin">
        <color indexed="64"/>
      </bottom>
      <diagonal/>
    </border>
    <border>
      <left style="thin">
        <color theme="4" tint="0.39997558519241921"/>
      </left>
      <right/>
      <top style="thin">
        <color theme="3" tint="0.59999389629810485"/>
      </top>
      <bottom style="thin">
        <color theme="3" tint="0.59999389629810485"/>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right style="thin">
        <color theme="0"/>
      </right>
      <top/>
      <bottom style="thin">
        <color theme="4" tint="0.39997558519241921"/>
      </bottom>
      <diagonal/>
    </border>
    <border>
      <left/>
      <right/>
      <top style="thin">
        <color theme="4" tint="0.39997558519241921"/>
      </top>
      <bottom style="thin">
        <color theme="0"/>
      </bottom>
      <diagonal/>
    </border>
    <border>
      <left style="thin">
        <color theme="0"/>
      </left>
      <right/>
      <top style="thin">
        <color theme="0"/>
      </top>
      <bottom style="thin">
        <color theme="4" tint="0.39997558519241921"/>
      </bottom>
      <diagonal/>
    </border>
    <border>
      <left/>
      <right/>
      <top style="thin">
        <color theme="0"/>
      </top>
      <bottom style="thin">
        <color theme="4" tint="0.39997558519241921"/>
      </bottom>
      <diagonal/>
    </border>
    <border>
      <left/>
      <right style="thin">
        <color theme="0"/>
      </right>
      <top style="thin">
        <color theme="0"/>
      </top>
      <bottom style="thin">
        <color theme="4" tint="0.39997558519241921"/>
      </bottom>
      <diagonal/>
    </border>
    <border>
      <left style="thin">
        <color theme="0"/>
      </left>
      <right style="thin">
        <color theme="0"/>
      </right>
      <top style="thin">
        <color theme="0"/>
      </top>
      <bottom style="thin">
        <color theme="0"/>
      </bottom>
      <diagonal/>
    </border>
    <border>
      <left/>
      <right style="thin">
        <color theme="3" tint="0.59999389629810485"/>
      </right>
      <top style="thin">
        <color theme="0"/>
      </top>
      <bottom style="thin">
        <color theme="0"/>
      </bottom>
      <diagonal/>
    </border>
    <border>
      <left style="thin">
        <color theme="3" tint="0.59999389629810485"/>
      </left>
      <right/>
      <top style="thin">
        <color theme="0"/>
      </top>
      <bottom style="thin">
        <color theme="0"/>
      </bottom>
      <diagonal/>
    </border>
    <border>
      <left/>
      <right style="thin">
        <color theme="3" tint="0.79998168889431442"/>
      </right>
      <top/>
      <bottom/>
      <diagonal/>
    </border>
    <border>
      <left/>
      <right/>
      <top style="thin">
        <color indexed="64"/>
      </top>
      <bottom style="thin">
        <color indexed="64"/>
      </bottom>
      <diagonal/>
    </border>
    <border>
      <left style="thin">
        <color theme="4" tint="0.39997558519241921"/>
      </left>
      <right style="thin">
        <color theme="3" tint="0.59999389629810485"/>
      </right>
      <top/>
      <bottom/>
      <diagonal/>
    </border>
    <border>
      <left style="thin">
        <color theme="4" tint="0.39997558519241921"/>
      </left>
      <right/>
      <top/>
      <bottom style="thin">
        <color theme="3" tint="0.59999389629810485"/>
      </bottom>
      <diagonal/>
    </border>
    <border>
      <left/>
      <right style="thin">
        <color theme="4" tint="0.39997558519241921"/>
      </right>
      <top/>
      <bottom style="thin">
        <color theme="3" tint="0.59999389629810485"/>
      </bottom>
      <diagonal/>
    </border>
    <border>
      <left style="thin">
        <color theme="3" tint="0.59999389629810485"/>
      </left>
      <right/>
      <top/>
      <bottom/>
      <diagonal/>
    </border>
    <border>
      <left style="thin">
        <color theme="3" tint="0.59999389629810485"/>
      </left>
      <right/>
      <top/>
      <bottom style="thin">
        <color theme="3" tint="0.59999389629810485"/>
      </bottom>
      <diagonal/>
    </border>
    <border>
      <left/>
      <right style="thin">
        <color theme="3" tint="0.59999389629810485"/>
      </right>
      <top/>
      <bottom style="thin">
        <color theme="3" tint="0.59999389629810485"/>
      </bottom>
      <diagonal/>
    </border>
    <border>
      <left/>
      <right style="thin">
        <color theme="8" tint="0.39997558519241921"/>
      </right>
      <top/>
      <bottom style="thin">
        <color theme="4" tint="0.39997558519241921"/>
      </bottom>
      <diagonal/>
    </border>
    <border>
      <left style="thin">
        <color theme="4" tint="0.59999389629810485"/>
      </left>
      <right/>
      <top/>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style="thin">
        <color theme="4" tint="0.59999389629810485"/>
      </right>
      <top/>
      <bottom/>
      <diagonal/>
    </border>
    <border>
      <left/>
      <right style="thin">
        <color theme="4" tint="0.59999389629810485"/>
      </right>
      <top/>
      <bottom style="thin">
        <color theme="4" tint="0.59999389629810485"/>
      </bottom>
      <diagonal/>
    </border>
    <border>
      <left/>
      <right/>
      <top style="thin">
        <color theme="4" tint="0.59999389629810485"/>
      </top>
      <bottom/>
      <diagonal/>
    </border>
    <border>
      <left style="thin">
        <color theme="4" tint="0.59999389629810485"/>
      </left>
      <right/>
      <top style="thin">
        <color theme="4" tint="0.59999389629810485"/>
      </top>
      <bottom/>
      <diagonal/>
    </border>
    <border>
      <left/>
      <right style="thin">
        <color theme="4" tint="0.59999389629810485"/>
      </right>
      <top style="thin">
        <color theme="4" tint="0.59999389629810485"/>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diagonal/>
    </border>
    <border>
      <left style="thin">
        <color theme="4" tint="0.39997558519241921"/>
      </left>
      <right style="thin">
        <color theme="4" tint="0.59999389629810485"/>
      </right>
      <top/>
      <bottom/>
      <diagonal/>
    </border>
  </borders>
  <cellStyleXfs count="3">
    <xf numFmtId="0" fontId="0" fillId="0" borderId="0"/>
    <xf numFmtId="0" fontId="8" fillId="6" borderId="1" applyFont="0" applyBorder="0">
      <alignment horizontal="left" vertical="center" indent="1"/>
    </xf>
    <xf numFmtId="0" fontId="21" fillId="0" borderId="0" applyNumberFormat="0" applyFill="0" applyBorder="0" applyAlignment="0" applyProtection="0"/>
  </cellStyleXfs>
  <cellXfs count="536">
    <xf numFmtId="0" fontId="0" fillId="0" borderId="0" xfId="0"/>
    <xf numFmtId="0" fontId="1" fillId="0" borderId="0" xfId="0" applyFont="1"/>
    <xf numFmtId="0" fontId="0" fillId="2" borderId="0" xfId="0" applyFill="1"/>
    <xf numFmtId="0" fontId="0" fillId="3" borderId="0" xfId="0" applyFill="1"/>
    <xf numFmtId="0" fontId="0" fillId="4" borderId="0" xfId="0" applyFill="1"/>
    <xf numFmtId="0" fontId="0" fillId="5" borderId="0" xfId="0" applyFill="1"/>
    <xf numFmtId="0" fontId="0" fillId="0" borderId="0" xfId="0" applyFill="1"/>
    <xf numFmtId="0" fontId="0" fillId="0" borderId="0" xfId="0" applyAlignment="1">
      <alignment horizontal="left" vertical="center"/>
    </xf>
    <xf numFmtId="0" fontId="1" fillId="0" borderId="0" xfId="0" applyFont="1" applyAlignment="1">
      <alignment horizontal="left" vertical="center"/>
    </xf>
    <xf numFmtId="0" fontId="4" fillId="0" borderId="0" xfId="0" applyFont="1" applyAlignment="1">
      <alignment horizontal="left" vertical="center"/>
    </xf>
    <xf numFmtId="0" fontId="0" fillId="0" borderId="0" xfId="0" applyFill="1" applyBorder="1" applyAlignment="1"/>
    <xf numFmtId="0" fontId="0" fillId="0" borderId="0" xfId="0" applyFill="1" applyBorder="1" applyAlignment="1">
      <alignment vertical="center"/>
    </xf>
    <xf numFmtId="0" fontId="0" fillId="0" borderId="0" xfId="0" applyFill="1" applyBorder="1"/>
    <xf numFmtId="0" fontId="1" fillId="0" borderId="0" xfId="0" applyFont="1" applyFill="1" applyBorder="1" applyAlignment="1">
      <alignment vertical="center"/>
    </xf>
    <xf numFmtId="0" fontId="0" fillId="9" borderId="0" xfId="0" applyFill="1" applyAlignment="1">
      <alignment horizontal="left" vertical="center"/>
    </xf>
    <xf numFmtId="0" fontId="1" fillId="9" borderId="0" xfId="0" applyFont="1" applyFill="1" applyAlignment="1">
      <alignment horizontal="left" vertical="center"/>
    </xf>
    <xf numFmtId="0" fontId="1" fillId="9" borderId="0" xfId="0" applyFont="1" applyFill="1"/>
    <xf numFmtId="0" fontId="1" fillId="0" borderId="0" xfId="0" applyFont="1" applyFill="1" applyAlignment="1">
      <alignment horizontal="left" vertical="center"/>
    </xf>
    <xf numFmtId="0" fontId="0" fillId="0" borderId="0" xfId="0" applyFill="1" applyAlignment="1">
      <alignment horizontal="left" vertical="center"/>
    </xf>
    <xf numFmtId="0" fontId="1" fillId="0" borderId="0" xfId="0" applyFont="1" applyFill="1"/>
    <xf numFmtId="0" fontId="4" fillId="0" borderId="0" xfId="0" applyFont="1" applyFill="1" applyAlignment="1">
      <alignment horizontal="left" vertical="center"/>
    </xf>
    <xf numFmtId="0" fontId="0" fillId="10" borderId="0" xfId="0" applyFill="1" applyAlignment="1">
      <alignment horizontal="left" vertical="center"/>
    </xf>
    <xf numFmtId="0" fontId="2" fillId="10" borderId="0" xfId="0" applyFont="1" applyFill="1" applyAlignment="1">
      <alignment horizontal="left" vertical="center"/>
    </xf>
    <xf numFmtId="0" fontId="0" fillId="9" borderId="0" xfId="0" applyFont="1" applyFill="1" applyAlignment="1">
      <alignment horizontal="left" vertical="center"/>
    </xf>
    <xf numFmtId="0" fontId="0" fillId="11" borderId="0" xfId="0" applyFill="1" applyAlignment="1">
      <alignment horizontal="left" vertical="center"/>
    </xf>
    <xf numFmtId="0" fontId="0" fillId="8" borderId="0" xfId="0"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left" vertical="center"/>
    </xf>
    <xf numFmtId="0" fontId="1" fillId="8" borderId="0" xfId="0" applyFont="1" applyFill="1" applyAlignment="1">
      <alignment horizontal="right" vertical="center"/>
    </xf>
    <xf numFmtId="0" fontId="1" fillId="11" borderId="0" xfId="0" applyFont="1" applyFill="1" applyAlignment="1">
      <alignment horizontal="right" vertical="center"/>
    </xf>
    <xf numFmtId="0" fontId="1" fillId="2" borderId="0" xfId="0" applyFont="1" applyFill="1" applyAlignment="1">
      <alignment horizontal="right" vertical="center"/>
    </xf>
    <xf numFmtId="0" fontId="0" fillId="7" borderId="0" xfId="0" applyFill="1" applyAlignment="1">
      <alignment horizontal="left" vertical="center"/>
    </xf>
    <xf numFmtId="0" fontId="1" fillId="7" borderId="0" xfId="0" applyFont="1" applyFill="1" applyAlignment="1">
      <alignment horizontal="left" vertical="center"/>
    </xf>
    <xf numFmtId="0" fontId="0" fillId="0" borderId="0" xfId="0" applyFont="1" applyAlignment="1">
      <alignment horizontal="right" vertical="center"/>
    </xf>
    <xf numFmtId="0" fontId="0" fillId="0" borderId="0" xfId="0" applyAlignment="1">
      <alignment horizontal="right" vertical="center"/>
    </xf>
    <xf numFmtId="0" fontId="0" fillId="0" borderId="0" xfId="0" applyFill="1" applyAlignment="1">
      <alignment horizontal="right" vertical="center"/>
    </xf>
    <xf numFmtId="0" fontId="0" fillId="0" borderId="0" xfId="0" applyFont="1" applyFill="1" applyAlignment="1">
      <alignment horizontal="righ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ont="1" applyAlignment="1">
      <alignment horizontal="right"/>
    </xf>
    <xf numFmtId="0" fontId="1" fillId="7" borderId="0" xfId="0" applyFont="1" applyFill="1" applyAlignment="1">
      <alignment horizontal="right" vertical="center"/>
    </xf>
    <xf numFmtId="0" fontId="0" fillId="12" borderId="0" xfId="0" applyFill="1" applyAlignment="1">
      <alignment horizontal="center"/>
    </xf>
    <xf numFmtId="0" fontId="0" fillId="13" borderId="0" xfId="0" applyFill="1" applyAlignment="1">
      <alignment horizontal="left" vertical="center"/>
    </xf>
    <xf numFmtId="0" fontId="1" fillId="13" borderId="0" xfId="0" applyFont="1" applyFill="1" applyAlignment="1">
      <alignment horizontal="left" vertical="center"/>
    </xf>
    <xf numFmtId="0" fontId="0" fillId="13" borderId="0" xfId="0" applyFill="1"/>
    <xf numFmtId="0" fontId="0" fillId="14" borderId="0" xfId="0" applyFill="1"/>
    <xf numFmtId="0" fontId="0" fillId="0" borderId="0" xfId="0" applyFont="1" applyFill="1"/>
    <xf numFmtId="0" fontId="0" fillId="12" borderId="0" xfId="0" applyFill="1" applyBorder="1" applyAlignment="1">
      <alignment horizontal="center"/>
    </xf>
    <xf numFmtId="0" fontId="0" fillId="0" borderId="0" xfId="0" applyFont="1" applyFill="1" applyAlignment="1">
      <alignment horizontal="left" vertical="center"/>
    </xf>
    <xf numFmtId="0" fontId="0" fillId="0" borderId="0" xfId="0" applyNumberFormat="1" applyAlignment="1">
      <alignment horizontal="right"/>
    </xf>
    <xf numFmtId="0" fontId="1" fillId="0" borderId="0" xfId="0" applyNumberFormat="1" applyFont="1" applyAlignment="1">
      <alignment horizontal="right" vertical="center"/>
    </xf>
    <xf numFmtId="0" fontId="0" fillId="9" borderId="0" xfId="0" applyFont="1" applyFill="1" applyAlignment="1">
      <alignment horizontal="right" vertical="center"/>
    </xf>
    <xf numFmtId="0" fontId="0" fillId="14" borderId="0" xfId="0" applyFont="1" applyFill="1" applyAlignment="1">
      <alignment horizontal="right" vertical="center"/>
    </xf>
    <xf numFmtId="0" fontId="0" fillId="11" borderId="0" xfId="0" applyFill="1"/>
    <xf numFmtId="0" fontId="0" fillId="11" borderId="0" xfId="0" applyNumberFormat="1" applyFill="1" applyAlignment="1">
      <alignment horizontal="right"/>
    </xf>
    <xf numFmtId="0" fontId="0" fillId="11" borderId="0" xfId="0" applyFont="1" applyFill="1" applyAlignment="1">
      <alignment horizontal="right" vertical="center"/>
    </xf>
    <xf numFmtId="0" fontId="0" fillId="2" borderId="0" xfId="0" applyFont="1" applyFill="1" applyAlignment="1">
      <alignment horizontal="right" vertical="center"/>
    </xf>
    <xf numFmtId="0" fontId="0" fillId="2" borderId="0" xfId="0" applyNumberFormat="1" applyFill="1" applyAlignment="1">
      <alignment horizontal="right"/>
    </xf>
    <xf numFmtId="0" fontId="0" fillId="11" borderId="0" xfId="0" applyFont="1" applyFill="1" applyAlignment="1">
      <alignment horizontal="left" vertical="center"/>
    </xf>
    <xf numFmtId="0" fontId="0" fillId="17" borderId="0" xfId="0" applyFill="1"/>
    <xf numFmtId="0" fontId="13" fillId="16" borderId="0" xfId="0" applyFont="1" applyFill="1"/>
    <xf numFmtId="0" fontId="26" fillId="0" borderId="0" xfId="0" applyFont="1" applyFill="1" applyAlignment="1">
      <alignment horizontal="right" vertical="center"/>
    </xf>
    <xf numFmtId="0" fontId="26" fillId="11" borderId="0" xfId="0" applyNumberFormat="1" applyFont="1" applyFill="1" applyAlignment="1">
      <alignment horizontal="right"/>
    </xf>
    <xf numFmtId="0" fontId="26" fillId="11" borderId="0" xfId="0" applyFont="1" applyFill="1"/>
    <xf numFmtId="0" fontId="1" fillId="11" borderId="0" xfId="0" applyFont="1" applyFill="1"/>
    <xf numFmtId="0" fontId="0" fillId="0" borderId="0" xfId="0" applyBorder="1"/>
    <xf numFmtId="0" fontId="14" fillId="18" borderId="0" xfId="2" applyFont="1" applyFill="1" applyAlignment="1">
      <alignment horizontal="center" vertical="top"/>
    </xf>
    <xf numFmtId="0" fontId="5" fillId="18" borderId="0" xfId="0" applyFont="1" applyFill="1"/>
    <xf numFmtId="0" fontId="0" fillId="18" borderId="0" xfId="0" applyFont="1" applyFill="1" applyAlignment="1">
      <alignment horizontal="center"/>
    </xf>
    <xf numFmtId="0" fontId="0" fillId="18" borderId="0" xfId="0" applyFill="1"/>
    <xf numFmtId="0" fontId="0" fillId="18" borderId="0" xfId="0" applyFill="1" applyAlignment="1">
      <alignment horizontal="center"/>
    </xf>
    <xf numFmtId="0" fontId="0" fillId="18" borderId="0" xfId="0" applyFill="1" applyAlignment="1">
      <alignment horizontal="right"/>
    </xf>
    <xf numFmtId="0" fontId="6" fillId="18" borderId="0" xfId="0" applyFont="1" applyFill="1" applyAlignment="1">
      <alignment horizontal="right" vertical="center"/>
    </xf>
    <xf numFmtId="0" fontId="6" fillId="18" borderId="0" xfId="0" applyFont="1" applyFill="1" applyAlignment="1">
      <alignment vertical="center"/>
    </xf>
    <xf numFmtId="0" fontId="0" fillId="19" borderId="0" xfId="0" applyFont="1" applyFill="1" applyAlignment="1">
      <alignment horizontal="center"/>
    </xf>
    <xf numFmtId="0" fontId="0" fillId="19" borderId="0" xfId="0" applyFill="1"/>
    <xf numFmtId="0" fontId="0" fillId="19" borderId="0" xfId="0" applyFill="1" applyAlignment="1">
      <alignment horizontal="center"/>
    </xf>
    <xf numFmtId="0" fontId="0" fillId="19" borderId="0" xfId="0" applyFill="1" applyAlignment="1">
      <alignment horizontal="right"/>
    </xf>
    <xf numFmtId="0" fontId="0" fillId="19" borderId="2" xfId="0" applyFont="1" applyFill="1" applyBorder="1" applyAlignment="1">
      <alignment horizontal="center"/>
    </xf>
    <xf numFmtId="0" fontId="0" fillId="19" borderId="0" xfId="0" applyFill="1" applyBorder="1"/>
    <xf numFmtId="0" fontId="25" fillId="19" borderId="0" xfId="0" applyFont="1" applyFill="1"/>
    <xf numFmtId="0" fontId="15" fillId="19" borderId="0" xfId="1" applyFont="1" applyFill="1" applyBorder="1" applyAlignment="1">
      <alignment vertical="center" wrapText="1"/>
    </xf>
    <xf numFmtId="0" fontId="7" fillId="19" borderId="0" xfId="1" applyFont="1" applyFill="1" applyBorder="1">
      <alignment horizontal="left" vertical="center" indent="1"/>
    </xf>
    <xf numFmtId="0" fontId="3" fillId="19" borderId="0" xfId="1" applyFont="1" applyFill="1" applyBorder="1">
      <alignment horizontal="left" vertical="center" indent="1"/>
    </xf>
    <xf numFmtId="0" fontId="0" fillId="19" borderId="0" xfId="1" applyFont="1" applyFill="1" applyBorder="1">
      <alignment horizontal="left" vertical="center" indent="1"/>
    </xf>
    <xf numFmtId="0" fontId="10" fillId="19" borderId="0" xfId="1" applyFont="1" applyFill="1" applyBorder="1">
      <alignment horizontal="left" vertical="center" indent="1"/>
    </xf>
    <xf numFmtId="0" fontId="2" fillId="19" borderId="0" xfId="1" applyFont="1" applyFill="1" applyBorder="1">
      <alignment horizontal="left" vertical="center" indent="1"/>
    </xf>
    <xf numFmtId="0" fontId="11" fillId="19" borderId="0" xfId="0" applyFont="1" applyFill="1" applyBorder="1" applyAlignment="1">
      <alignment horizontal="left" vertical="top" wrapText="1"/>
    </xf>
    <xf numFmtId="0" fontId="16" fillId="19" borderId="0" xfId="0" applyFont="1" applyFill="1"/>
    <xf numFmtId="0" fontId="14" fillId="19" borderId="0" xfId="1" applyFont="1" applyFill="1" applyBorder="1">
      <alignment horizontal="left" vertical="center" indent="1"/>
    </xf>
    <xf numFmtId="0" fontId="17" fillId="19" borderId="0" xfId="1" applyFont="1" applyFill="1" applyBorder="1">
      <alignment horizontal="left" vertical="center" indent="1"/>
    </xf>
    <xf numFmtId="0" fontId="13" fillId="19" borderId="0" xfId="1" applyFont="1" applyFill="1" applyBorder="1">
      <alignment horizontal="left" vertical="center" indent="1"/>
    </xf>
    <xf numFmtId="0" fontId="0" fillId="12" borderId="18" xfId="0" applyFill="1" applyBorder="1" applyAlignment="1">
      <alignment horizontal="center"/>
    </xf>
    <xf numFmtId="0" fontId="0" fillId="12" borderId="15" xfId="0" applyFill="1" applyBorder="1" applyAlignment="1">
      <alignment horizontal="center"/>
    </xf>
    <xf numFmtId="0" fontId="3" fillId="19" borderId="7" xfId="1" applyFont="1" applyFill="1" applyBorder="1">
      <alignment horizontal="left" vertical="center" indent="1"/>
    </xf>
    <xf numFmtId="0" fontId="0" fillId="19" borderId="14" xfId="0" applyFill="1" applyBorder="1"/>
    <xf numFmtId="0" fontId="3" fillId="19" borderId="0" xfId="0" applyFont="1" applyFill="1"/>
    <xf numFmtId="0" fontId="2" fillId="19" borderId="0" xfId="0" applyFont="1" applyFill="1" applyAlignment="1">
      <alignment horizontal="center"/>
    </xf>
    <xf numFmtId="0" fontId="3" fillId="19" borderId="2" xfId="0" applyFont="1" applyFill="1" applyBorder="1"/>
    <xf numFmtId="0" fontId="3" fillId="19" borderId="0" xfId="0" applyFont="1" applyFill="1" applyBorder="1"/>
    <xf numFmtId="0" fontId="9" fillId="19" borderId="0" xfId="1" applyFont="1" applyFill="1" applyBorder="1">
      <alignment horizontal="left" vertical="center" indent="1"/>
    </xf>
    <xf numFmtId="0" fontId="9" fillId="19" borderId="6" xfId="1" applyFont="1" applyFill="1" applyBorder="1">
      <alignment horizontal="left" vertical="center" indent="1"/>
    </xf>
    <xf numFmtId="0" fontId="18" fillId="19" borderId="0" xfId="0" applyFont="1" applyFill="1" applyAlignment="1">
      <alignment horizontal="center" vertical="center"/>
    </xf>
    <xf numFmtId="0" fontId="20" fillId="19" borderId="0" xfId="0" applyFont="1" applyFill="1"/>
    <xf numFmtId="0" fontId="7" fillId="19" borderId="0" xfId="0" applyFont="1" applyFill="1"/>
    <xf numFmtId="0" fontId="24" fillId="19" borderId="0" xfId="0" applyFont="1" applyFill="1"/>
    <xf numFmtId="0" fontId="3" fillId="19" borderId="0" xfId="1" applyFont="1" applyFill="1" applyBorder="1" applyAlignment="1">
      <alignment horizontal="right" vertical="top" textRotation="30"/>
    </xf>
    <xf numFmtId="0" fontId="2" fillId="19" borderId="0" xfId="1" applyFont="1" applyFill="1" applyBorder="1" applyAlignment="1">
      <alignment horizontal="right" vertical="top" textRotation="30"/>
    </xf>
    <xf numFmtId="0" fontId="5" fillId="18" borderId="0" xfId="0" applyFont="1" applyFill="1" applyAlignment="1">
      <alignment horizontal="left" vertical="center"/>
    </xf>
    <xf numFmtId="0" fontId="3" fillId="18" borderId="0" xfId="0" applyFont="1" applyFill="1"/>
    <xf numFmtId="0" fontId="9" fillId="18" borderId="3" xfId="1" applyFont="1" applyFill="1" applyBorder="1">
      <alignment horizontal="left" vertical="center" indent="1"/>
    </xf>
    <xf numFmtId="0" fontId="9" fillId="18" borderId="5" xfId="1" applyFont="1" applyFill="1" applyBorder="1">
      <alignment horizontal="left" vertical="center" indent="1"/>
    </xf>
    <xf numFmtId="0" fontId="9" fillId="18" borderId="4" xfId="1" applyFont="1" applyFill="1" applyBorder="1">
      <alignment horizontal="left" vertical="center" indent="1"/>
    </xf>
    <xf numFmtId="0" fontId="13" fillId="0" borderId="0" xfId="0" applyFont="1" applyAlignment="1">
      <alignment horizontal="left" vertical="center"/>
    </xf>
    <xf numFmtId="0" fontId="13" fillId="0" borderId="0" xfId="0" applyFont="1" applyAlignment="1">
      <alignment horizontal="right" vertical="center"/>
    </xf>
    <xf numFmtId="0" fontId="3" fillId="19" borderId="7" xfId="0" applyFont="1" applyFill="1" applyBorder="1"/>
    <xf numFmtId="0" fontId="3" fillId="19" borderId="14" xfId="1" applyFont="1" applyFill="1" applyBorder="1" applyAlignment="1">
      <alignment horizontal="right" vertical="center" indent="1"/>
    </xf>
    <xf numFmtId="0" fontId="28" fillId="19" borderId="0" xfId="0" applyFont="1" applyFill="1" applyBorder="1"/>
    <xf numFmtId="0" fontId="9" fillId="18" borderId="11" xfId="1" applyFont="1" applyFill="1" applyBorder="1">
      <alignment horizontal="left" vertical="center" indent="1"/>
    </xf>
    <xf numFmtId="0" fontId="28" fillId="19" borderId="0" xfId="0" applyFont="1" applyFill="1"/>
    <xf numFmtId="0" fontId="28" fillId="19" borderId="7" xfId="0" applyFont="1" applyFill="1" applyBorder="1"/>
    <xf numFmtId="0" fontId="9" fillId="18" borderId="21" xfId="1" applyFont="1" applyFill="1" applyBorder="1">
      <alignment horizontal="left" vertical="center" indent="1"/>
    </xf>
    <xf numFmtId="0" fontId="3" fillId="19" borderId="16" xfId="0" applyFont="1" applyFill="1" applyBorder="1"/>
    <xf numFmtId="0" fontId="9" fillId="18" borderId="11" xfId="1" applyFont="1" applyFill="1" applyBorder="1" applyAlignment="1">
      <alignment horizontal="left" vertical="center"/>
    </xf>
    <xf numFmtId="0" fontId="34" fillId="19" borderId="2" xfId="0" applyFont="1" applyFill="1" applyBorder="1"/>
    <xf numFmtId="0" fontId="26" fillId="0" borderId="0" xfId="0" applyFont="1"/>
    <xf numFmtId="0" fontId="35" fillId="0" borderId="0" xfId="0" applyFont="1" applyFill="1"/>
    <xf numFmtId="0" fontId="9" fillId="18" borderId="10" xfId="1" applyFont="1" applyFill="1" applyBorder="1">
      <alignment horizontal="left" vertical="center" indent="1"/>
    </xf>
    <xf numFmtId="0" fontId="0" fillId="19" borderId="0" xfId="0" applyFont="1" applyFill="1"/>
    <xf numFmtId="0" fontId="0" fillId="19" borderId="0" xfId="0" applyFont="1" applyFill="1" applyBorder="1"/>
    <xf numFmtId="0" fontId="3" fillId="18" borderId="11" xfId="1" applyFont="1" applyFill="1" applyBorder="1">
      <alignment horizontal="left" vertical="center" indent="1"/>
    </xf>
    <xf numFmtId="0" fontId="0" fillId="19" borderId="7" xfId="1" applyFont="1" applyFill="1" applyBorder="1">
      <alignment horizontal="left" vertical="center" indent="1"/>
    </xf>
    <xf numFmtId="0" fontId="0" fillId="19" borderId="7" xfId="0" applyFill="1" applyBorder="1"/>
    <xf numFmtId="0" fontId="0" fillId="19" borderId="14" xfId="1" applyFont="1" applyFill="1" applyBorder="1">
      <alignment horizontal="left" vertical="center" indent="1"/>
    </xf>
    <xf numFmtId="0" fontId="0" fillId="19" borderId="9" xfId="1" applyFont="1" applyFill="1" applyBorder="1">
      <alignment horizontal="left" vertical="center" indent="1"/>
    </xf>
    <xf numFmtId="0" fontId="27" fillId="18" borderId="11" xfId="1" applyFont="1" applyFill="1" applyBorder="1">
      <alignment horizontal="left" vertical="center" indent="1"/>
    </xf>
    <xf numFmtId="0" fontId="2" fillId="18" borderId="12" xfId="1" applyFont="1" applyFill="1" applyBorder="1" applyAlignment="1">
      <alignment horizontal="right" vertical="center" indent="1"/>
    </xf>
    <xf numFmtId="0" fontId="0" fillId="19" borderId="7" xfId="0" applyFont="1" applyFill="1" applyBorder="1" applyAlignment="1">
      <alignment horizontal="center"/>
    </xf>
    <xf numFmtId="0" fontId="0" fillId="19" borderId="0" xfId="0" applyFont="1" applyFill="1" applyBorder="1" applyAlignment="1">
      <alignment horizontal="center"/>
    </xf>
    <xf numFmtId="0" fontId="2" fillId="18" borderId="22" xfId="1" applyFont="1" applyFill="1" applyBorder="1">
      <alignment horizontal="left" vertical="center" indent="1"/>
    </xf>
    <xf numFmtId="0" fontId="9" fillId="18" borderId="22" xfId="1" applyFont="1" applyFill="1" applyBorder="1">
      <alignment horizontal="left" vertical="center" indent="1"/>
    </xf>
    <xf numFmtId="0" fontId="2" fillId="18" borderId="23" xfId="1" applyFont="1" applyFill="1" applyBorder="1" applyAlignment="1">
      <alignment horizontal="right" vertical="center" indent="1"/>
    </xf>
    <xf numFmtId="0" fontId="0" fillId="19" borderId="7" xfId="0" applyFill="1" applyBorder="1" applyAlignment="1">
      <alignment horizontal="center"/>
    </xf>
    <xf numFmtId="0" fontId="0" fillId="19" borderId="7" xfId="0" applyFill="1" applyBorder="1" applyAlignment="1">
      <alignment horizontal="right"/>
    </xf>
    <xf numFmtId="0" fontId="2" fillId="18" borderId="11" xfId="1" applyFont="1" applyFill="1" applyBorder="1">
      <alignment horizontal="left" vertical="center" indent="1"/>
    </xf>
    <xf numFmtId="0" fontId="3" fillId="19" borderId="9" xfId="1" applyFont="1" applyFill="1" applyBorder="1" applyAlignment="1">
      <alignment horizontal="right" vertical="center" indent="1"/>
    </xf>
    <xf numFmtId="0" fontId="16" fillId="19" borderId="7" xfId="1" applyFont="1" applyFill="1" applyBorder="1">
      <alignment horizontal="left" vertical="center" indent="1"/>
    </xf>
    <xf numFmtId="0" fontId="9" fillId="18" borderId="7" xfId="1" applyFont="1" applyFill="1" applyBorder="1">
      <alignment horizontal="left" vertical="center" indent="1"/>
    </xf>
    <xf numFmtId="0" fontId="9" fillId="18" borderId="9" xfId="1" applyFont="1" applyFill="1" applyBorder="1" applyAlignment="1">
      <alignment horizontal="right" vertical="center" indent="1"/>
    </xf>
    <xf numFmtId="0" fontId="28" fillId="19" borderId="14" xfId="1" applyFont="1" applyFill="1" applyBorder="1">
      <alignment horizontal="left" vertical="center" indent="1"/>
    </xf>
    <xf numFmtId="0" fontId="3" fillId="19" borderId="14" xfId="1" applyFont="1" applyFill="1" applyBorder="1">
      <alignment horizontal="left" vertical="center" indent="1"/>
    </xf>
    <xf numFmtId="0" fontId="29" fillId="19" borderId="7" xfId="0" applyFont="1" applyFill="1" applyBorder="1" applyAlignment="1">
      <alignment vertical="center" wrapText="1"/>
    </xf>
    <xf numFmtId="0" fontId="11" fillId="19" borderId="7" xfId="0" applyFont="1" applyFill="1" applyBorder="1" applyAlignment="1">
      <alignment vertical="top" wrapText="1"/>
    </xf>
    <xf numFmtId="0" fontId="0" fillId="18" borderId="12" xfId="0" applyFill="1" applyBorder="1"/>
    <xf numFmtId="0" fontId="0" fillId="18" borderId="11" xfId="0" applyFill="1" applyBorder="1" applyAlignment="1">
      <alignment vertical="center"/>
    </xf>
    <xf numFmtId="0" fontId="0" fillId="18" borderId="11" xfId="0" applyFill="1" applyBorder="1" applyAlignment="1">
      <alignment horizontal="center" vertical="center"/>
    </xf>
    <xf numFmtId="0" fontId="2" fillId="18" borderId="11" xfId="0" applyFont="1" applyFill="1" applyBorder="1" applyAlignment="1">
      <alignment horizontal="right" vertical="center"/>
    </xf>
    <xf numFmtId="0" fontId="0" fillId="18" borderId="7" xfId="0" applyFill="1" applyBorder="1" applyAlignment="1">
      <alignment vertical="center"/>
    </xf>
    <xf numFmtId="0" fontId="2" fillId="18" borderId="7" xfId="0" applyFont="1" applyFill="1" applyBorder="1" applyAlignment="1">
      <alignment vertical="center"/>
    </xf>
    <xf numFmtId="0" fontId="2" fillId="18" borderId="11" xfId="0" applyFont="1" applyFill="1" applyBorder="1" applyAlignment="1">
      <alignment horizontal="left" vertical="center" indent="1"/>
    </xf>
    <xf numFmtId="0" fontId="0" fillId="0" borderId="0" xfId="0" applyBorder="1" applyAlignment="1">
      <alignment horizontal="left" vertical="center"/>
    </xf>
    <xf numFmtId="0" fontId="3" fillId="19" borderId="0" xfId="0" applyFont="1" applyFill="1" applyAlignment="1">
      <alignment horizontal="left" indent="1"/>
    </xf>
    <xf numFmtId="0" fontId="1" fillId="0" borderId="0" xfId="0" applyFont="1" applyBorder="1" applyAlignment="1">
      <alignment horizontal="left" vertical="center"/>
    </xf>
    <xf numFmtId="0" fontId="13" fillId="0" borderId="0" xfId="0" applyFont="1" applyBorder="1"/>
    <xf numFmtId="0" fontId="27" fillId="19" borderId="0" xfId="0" applyFont="1" applyFill="1" applyBorder="1"/>
    <xf numFmtId="0" fontId="9" fillId="19" borderId="7" xfId="0" applyFont="1" applyFill="1" applyBorder="1" applyAlignment="1">
      <alignment horizontal="left" indent="1"/>
    </xf>
    <xf numFmtId="0" fontId="36" fillId="12" borderId="0" xfId="0" applyFont="1" applyFill="1" applyAlignment="1">
      <alignment vertical="center"/>
    </xf>
    <xf numFmtId="0" fontId="0" fillId="0" borderId="0" xfId="0" applyAlignment="1">
      <alignment vertical="center"/>
    </xf>
    <xf numFmtId="0" fontId="36" fillId="12" borderId="0" xfId="0" applyFont="1" applyFill="1" applyAlignment="1">
      <alignment vertical="center" wrapText="1"/>
    </xf>
    <xf numFmtId="0" fontId="37" fillId="12" borderId="0" xfId="0" applyFont="1" applyFill="1" applyAlignment="1">
      <alignment horizontal="center"/>
    </xf>
    <xf numFmtId="0" fontId="39" fillId="0" borderId="0" xfId="0" applyFont="1" applyAlignment="1">
      <alignment vertical="center"/>
    </xf>
    <xf numFmtId="0" fontId="22" fillId="18" borderId="0" xfId="0" applyFont="1" applyFill="1" applyAlignment="1">
      <alignment horizontal="left" vertical="center"/>
    </xf>
    <xf numFmtId="0" fontId="38" fillId="18" borderId="0" xfId="0" applyFont="1" applyFill="1" applyAlignment="1">
      <alignment horizontal="left" vertical="center"/>
    </xf>
    <xf numFmtId="0" fontId="41" fillId="18" borderId="13" xfId="0" applyFont="1" applyFill="1" applyBorder="1" applyAlignment="1">
      <alignment horizontal="center" vertical="center"/>
    </xf>
    <xf numFmtId="0" fontId="42" fillId="0" borderId="0" xfId="0" applyFont="1" applyAlignment="1">
      <alignment vertical="center"/>
    </xf>
    <xf numFmtId="0" fontId="0" fillId="9" borderId="0" xfId="0" applyFill="1"/>
    <xf numFmtId="0" fontId="0" fillId="0" borderId="0" xfId="0" applyFont="1" applyFill="1" applyBorder="1"/>
    <xf numFmtId="0" fontId="13" fillId="0" borderId="0" xfId="0" applyFont="1" applyFill="1" applyBorder="1"/>
    <xf numFmtId="0" fontId="13" fillId="11" borderId="0" xfId="0" applyFont="1" applyFill="1" applyBorder="1"/>
    <xf numFmtId="0" fontId="0" fillId="11" borderId="0" xfId="0" applyFill="1" applyBorder="1"/>
    <xf numFmtId="0" fontId="1" fillId="20" borderId="0" xfId="0" applyFont="1" applyFill="1" applyAlignment="1">
      <alignment horizontal="left" vertical="center"/>
    </xf>
    <xf numFmtId="0" fontId="1" fillId="4" borderId="0" xfId="0" applyFont="1" applyFill="1" applyAlignment="1">
      <alignment horizontal="left" vertical="center"/>
    </xf>
    <xf numFmtId="0" fontId="1" fillId="3" borderId="0" xfId="0" applyFont="1" applyFill="1" applyAlignment="1">
      <alignment horizontal="left" vertical="center"/>
    </xf>
    <xf numFmtId="0" fontId="1" fillId="21" borderId="0" xfId="0" applyFont="1" applyFill="1" applyBorder="1" applyAlignment="1">
      <alignment horizontal="left" vertical="center"/>
    </xf>
    <xf numFmtId="0" fontId="1" fillId="3" borderId="0" xfId="0" applyFont="1" applyFill="1" applyBorder="1" applyAlignment="1">
      <alignment horizontal="left" vertical="center"/>
    </xf>
    <xf numFmtId="0" fontId="1" fillId="20" borderId="0" xfId="0" applyFont="1" applyFill="1" applyBorder="1" applyAlignment="1">
      <alignment horizontal="left" vertical="center"/>
    </xf>
    <xf numFmtId="0" fontId="1" fillId="0" borderId="0" xfId="0" applyFont="1" applyFill="1" applyBorder="1" applyAlignment="1">
      <alignment horizontal="left" vertical="center"/>
    </xf>
    <xf numFmtId="0" fontId="13" fillId="11" borderId="0" xfId="0" applyFont="1" applyFill="1"/>
    <xf numFmtId="0" fontId="41" fillId="22" borderId="13" xfId="0" applyFont="1" applyFill="1" applyBorder="1" applyAlignment="1">
      <alignment horizontal="center" vertical="center"/>
    </xf>
    <xf numFmtId="0" fontId="0" fillId="8" borderId="0" xfId="0" applyFont="1" applyFill="1" applyAlignment="1">
      <alignment horizontal="center"/>
    </xf>
    <xf numFmtId="0" fontId="0" fillId="8" borderId="0" xfId="0" applyFill="1"/>
    <xf numFmtId="0" fontId="0" fillId="8" borderId="0" xfId="0" applyFill="1" applyAlignment="1">
      <alignment horizontal="center"/>
    </xf>
    <xf numFmtId="0" fontId="0" fillId="8" borderId="0" xfId="0" applyFill="1" applyAlignment="1">
      <alignment horizontal="right"/>
    </xf>
    <xf numFmtId="0" fontId="3" fillId="8" borderId="0" xfId="0" applyFont="1" applyFill="1"/>
    <xf numFmtId="0" fontId="0" fillId="8" borderId="0" xfId="0" applyFont="1" applyFill="1"/>
    <xf numFmtId="0" fontId="0" fillId="8" borderId="0" xfId="0" applyFill="1" applyBorder="1"/>
    <xf numFmtId="0" fontId="0" fillId="8" borderId="7" xfId="0" applyFill="1" applyBorder="1"/>
    <xf numFmtId="0" fontId="25" fillId="8" borderId="0" xfId="0" applyFont="1" applyFill="1"/>
    <xf numFmtId="0" fontId="0" fillId="8" borderId="14" xfId="0" applyFill="1" applyBorder="1"/>
    <xf numFmtId="0" fontId="0" fillId="8" borderId="0" xfId="0" applyFont="1" applyFill="1" applyBorder="1" applyAlignment="1">
      <alignment horizontal="center"/>
    </xf>
    <xf numFmtId="0" fontId="0" fillId="8" borderId="0" xfId="1" applyFont="1" applyFill="1" applyBorder="1">
      <alignment horizontal="left" vertical="center" indent="1"/>
    </xf>
    <xf numFmtId="0" fontId="2" fillId="8" borderId="0" xfId="1" applyFont="1" applyFill="1" applyBorder="1">
      <alignment horizontal="left" vertical="center" indent="1"/>
    </xf>
    <xf numFmtId="0" fontId="3" fillId="8" borderId="0" xfId="1" applyFont="1" applyFill="1" applyBorder="1">
      <alignment horizontal="left" vertical="center" indent="1"/>
    </xf>
    <xf numFmtId="0" fontId="3" fillId="8" borderId="14" xfId="1" applyFont="1" applyFill="1" applyBorder="1" applyAlignment="1">
      <alignment horizontal="right" vertical="center" indent="1"/>
    </xf>
    <xf numFmtId="0" fontId="7" fillId="8" borderId="0" xfId="1" applyFont="1" applyFill="1" applyBorder="1">
      <alignment horizontal="left" vertical="center" indent="1"/>
    </xf>
    <xf numFmtId="0" fontId="13" fillId="8" borderId="0" xfId="1" applyFont="1" applyFill="1" applyBorder="1">
      <alignment horizontal="left" vertical="center" indent="1"/>
    </xf>
    <xf numFmtId="0" fontId="15" fillId="8" borderId="0" xfId="1" applyFont="1" applyFill="1" applyBorder="1" applyAlignment="1">
      <alignment vertical="center" wrapText="1"/>
    </xf>
    <xf numFmtId="0" fontId="0" fillId="8" borderId="11" xfId="0" applyFill="1" applyBorder="1"/>
    <xf numFmtId="0" fontId="3" fillId="8" borderId="14" xfId="1" applyFont="1" applyFill="1" applyBorder="1">
      <alignment horizontal="left" vertical="center" indent="1"/>
    </xf>
    <xf numFmtId="0" fontId="11" fillId="8" borderId="0" xfId="0" applyFont="1" applyFill="1" applyBorder="1" applyAlignment="1">
      <alignment horizontal="left" vertical="top" wrapText="1"/>
    </xf>
    <xf numFmtId="0" fontId="0" fillId="8" borderId="0" xfId="0" applyFont="1" applyFill="1" applyBorder="1"/>
    <xf numFmtId="0" fontId="14" fillId="23" borderId="0" xfId="2" applyFont="1" applyFill="1" applyAlignment="1">
      <alignment horizontal="center" vertical="top"/>
    </xf>
    <xf numFmtId="0" fontId="5" fillId="23" borderId="0" xfId="0" applyFont="1" applyFill="1"/>
    <xf numFmtId="0" fontId="0" fillId="23" borderId="0" xfId="0" applyFont="1" applyFill="1" applyAlignment="1">
      <alignment horizontal="center"/>
    </xf>
    <xf numFmtId="0" fontId="0" fillId="23" borderId="0" xfId="0" applyFill="1"/>
    <xf numFmtId="0" fontId="0" fillId="23" borderId="0" xfId="0" applyFill="1" applyAlignment="1">
      <alignment horizontal="center"/>
    </xf>
    <xf numFmtId="0" fontId="0" fillId="23" borderId="0" xfId="0" applyFill="1" applyAlignment="1">
      <alignment horizontal="right"/>
    </xf>
    <xf numFmtId="0" fontId="6" fillId="23" borderId="0" xfId="0" applyFont="1" applyFill="1" applyAlignment="1">
      <alignment horizontal="right" vertical="center"/>
    </xf>
    <xf numFmtId="0" fontId="6" fillId="23" borderId="0" xfId="0" applyFont="1" applyFill="1" applyAlignment="1">
      <alignment vertical="center"/>
    </xf>
    <xf numFmtId="0" fontId="3" fillId="23" borderId="0" xfId="0" applyFont="1" applyFill="1"/>
    <xf numFmtId="0" fontId="30" fillId="23" borderId="0" xfId="0" applyFont="1" applyFill="1" applyAlignment="1">
      <alignment horizontal="right" vertical="center"/>
    </xf>
    <xf numFmtId="0" fontId="0" fillId="23" borderId="0" xfId="0" applyFont="1" applyFill="1"/>
    <xf numFmtId="0" fontId="0" fillId="8" borderId="0" xfId="0" applyFill="1" applyBorder="1" applyAlignment="1">
      <alignment horizontal="center"/>
    </xf>
    <xf numFmtId="0" fontId="0" fillId="8" borderId="0" xfId="0" applyFill="1" applyBorder="1" applyAlignment="1">
      <alignment horizontal="right"/>
    </xf>
    <xf numFmtId="0" fontId="3" fillId="8" borderId="27" xfId="1" applyFont="1" applyFill="1" applyBorder="1">
      <alignment horizontal="left" vertical="center" indent="1"/>
    </xf>
    <xf numFmtId="0" fontId="9" fillId="23" borderId="29" xfId="1" applyFont="1" applyFill="1" applyBorder="1">
      <alignment horizontal="left" vertical="center" indent="1"/>
    </xf>
    <xf numFmtId="0" fontId="2" fillId="23" borderId="31" xfId="1" applyFont="1" applyFill="1" applyBorder="1" applyAlignment="1">
      <alignment horizontal="right" vertical="center" indent="1"/>
    </xf>
    <xf numFmtId="0" fontId="0" fillId="8" borderId="32" xfId="1" applyFont="1" applyFill="1" applyBorder="1">
      <alignment horizontal="left" vertical="center" indent="1"/>
    </xf>
    <xf numFmtId="0" fontId="0" fillId="8" borderId="33" xfId="1" applyFont="1" applyFill="1" applyBorder="1">
      <alignment horizontal="left" vertical="center" indent="1"/>
    </xf>
    <xf numFmtId="0" fontId="0" fillId="8" borderId="34" xfId="1" applyFont="1" applyFill="1" applyBorder="1" applyAlignment="1">
      <alignment horizontal="right" vertical="center" indent="1"/>
    </xf>
    <xf numFmtId="0" fontId="3" fillId="8" borderId="35" xfId="1" applyFont="1" applyFill="1" applyBorder="1">
      <alignment horizontal="left" vertical="center" indent="1"/>
    </xf>
    <xf numFmtId="0" fontId="3" fillId="8" borderId="38" xfId="1" applyFont="1" applyFill="1" applyBorder="1">
      <alignment horizontal="left" vertical="center" indent="1"/>
    </xf>
    <xf numFmtId="0" fontId="2" fillId="23" borderId="30" xfId="1" applyFont="1" applyFill="1" applyBorder="1">
      <alignment horizontal="left" vertical="center" indent="1"/>
    </xf>
    <xf numFmtId="0" fontId="40" fillId="8" borderId="0" xfId="1" applyFont="1" applyFill="1" applyBorder="1">
      <alignment horizontal="left" vertical="center" indent="1"/>
    </xf>
    <xf numFmtId="0" fontId="31" fillId="8" borderId="35" xfId="1" applyFont="1" applyFill="1" applyBorder="1">
      <alignment horizontal="left" vertical="center" indent="1"/>
    </xf>
    <xf numFmtId="0" fontId="31" fillId="8" borderId="0" xfId="1" applyFont="1" applyFill="1" applyBorder="1">
      <alignment horizontal="left" vertical="center" indent="1"/>
    </xf>
    <xf numFmtId="0" fontId="31" fillId="8" borderId="36" xfId="1" applyFont="1" applyFill="1" applyBorder="1" applyAlignment="1">
      <alignment horizontal="right" vertical="center" indent="1"/>
    </xf>
    <xf numFmtId="0" fontId="31" fillId="8" borderId="0" xfId="0" applyFont="1" applyFill="1" applyBorder="1" applyAlignment="1">
      <alignment horizontal="center"/>
    </xf>
    <xf numFmtId="0" fontId="31" fillId="8" borderId="7" xfId="1" applyFont="1" applyFill="1" applyBorder="1">
      <alignment horizontal="left" vertical="center" indent="1"/>
    </xf>
    <xf numFmtId="0" fontId="31" fillId="8" borderId="37" xfId="1" applyFont="1" applyFill="1" applyBorder="1" applyAlignment="1">
      <alignment horizontal="right" vertical="center" indent="1"/>
    </xf>
    <xf numFmtId="0" fontId="10" fillId="8" borderId="32" xfId="1" applyFont="1" applyFill="1" applyBorder="1">
      <alignment horizontal="left" vertical="center" indent="1"/>
    </xf>
    <xf numFmtId="0" fontId="2" fillId="8" borderId="33" xfId="1" applyFont="1" applyFill="1" applyBorder="1">
      <alignment horizontal="left" vertical="center" indent="1"/>
    </xf>
    <xf numFmtId="0" fontId="2" fillId="8" borderId="34" xfId="1" applyFont="1" applyFill="1" applyBorder="1">
      <alignment horizontal="left" vertical="center" indent="1"/>
    </xf>
    <xf numFmtId="0" fontId="7" fillId="8" borderId="36" xfId="1" applyFont="1" applyFill="1" applyBorder="1">
      <alignment horizontal="left" vertical="center" indent="1"/>
    </xf>
    <xf numFmtId="0" fontId="0" fillId="8" borderId="35" xfId="0" applyFill="1" applyBorder="1"/>
    <xf numFmtId="0" fontId="12" fillId="8" borderId="0" xfId="0" applyFont="1" applyFill="1" applyBorder="1" applyAlignment="1">
      <alignment horizontal="left" indent="1"/>
    </xf>
    <xf numFmtId="0" fontId="0" fillId="8" borderId="36" xfId="0" applyFill="1" applyBorder="1"/>
    <xf numFmtId="0" fontId="32" fillId="8" borderId="26" xfId="1" applyFont="1" applyFill="1" applyBorder="1">
      <alignment horizontal="left" vertical="center" indent="1"/>
    </xf>
    <xf numFmtId="0" fontId="2" fillId="23" borderId="31" xfId="1" applyFont="1" applyFill="1" applyBorder="1">
      <alignment horizontal="left" vertical="center" indent="1"/>
    </xf>
    <xf numFmtId="0" fontId="31" fillId="8" borderId="0" xfId="1" applyFont="1" applyFill="1" applyBorder="1" applyAlignment="1">
      <alignment vertical="center"/>
    </xf>
    <xf numFmtId="0" fontId="9" fillId="23" borderId="39" xfId="1" applyFont="1" applyFill="1" applyBorder="1">
      <alignment horizontal="left" vertical="center" indent="1"/>
    </xf>
    <xf numFmtId="0" fontId="2" fillId="23" borderId="41" xfId="1" applyFont="1" applyFill="1" applyBorder="1" applyAlignment="1">
      <alignment horizontal="right" vertical="center" indent="1"/>
    </xf>
    <xf numFmtId="0" fontId="31" fillId="8" borderId="26" xfId="1" applyFont="1" applyFill="1" applyBorder="1">
      <alignment horizontal="left" vertical="center" indent="1"/>
    </xf>
    <xf numFmtId="0" fontId="3" fillId="8" borderId="28" xfId="1" applyFont="1" applyFill="1" applyBorder="1" applyAlignment="1">
      <alignment horizontal="right" vertical="center" indent="1"/>
    </xf>
    <xf numFmtId="0" fontId="31" fillId="8" borderId="0" xfId="1" applyFont="1" applyFill="1" applyBorder="1" applyAlignment="1">
      <alignment horizontal="right" vertical="center" indent="1"/>
    </xf>
    <xf numFmtId="0" fontId="31" fillId="8" borderId="28" xfId="1" applyFont="1" applyFill="1" applyBorder="1" applyAlignment="1">
      <alignment horizontal="right" vertical="center" indent="1"/>
    </xf>
    <xf numFmtId="0" fontId="15" fillId="8" borderId="35" xfId="1" applyFont="1" applyFill="1" applyBorder="1" applyAlignment="1">
      <alignment vertical="center" wrapText="1"/>
    </xf>
    <xf numFmtId="0" fontId="10" fillId="8" borderId="26" xfId="1" applyFont="1" applyFill="1" applyBorder="1">
      <alignment horizontal="left" vertical="center" indent="1"/>
    </xf>
    <xf numFmtId="0" fontId="31" fillId="8" borderId="14" xfId="1" applyFont="1" applyFill="1" applyBorder="1" applyAlignment="1">
      <alignment horizontal="right" vertical="center" indent="1"/>
    </xf>
    <xf numFmtId="0" fontId="9" fillId="23" borderId="32" xfId="1" applyFont="1" applyFill="1" applyBorder="1">
      <alignment horizontal="left" vertical="center" indent="1"/>
    </xf>
    <xf numFmtId="0" fontId="2" fillId="23" borderId="34" xfId="1" applyFont="1" applyFill="1" applyBorder="1" applyAlignment="1">
      <alignment horizontal="right" vertical="center" indent="1"/>
    </xf>
    <xf numFmtId="0" fontId="16" fillId="8" borderId="32" xfId="0" applyFont="1" applyFill="1" applyBorder="1"/>
    <xf numFmtId="0" fontId="0" fillId="8" borderId="34" xfId="1" applyFont="1" applyFill="1" applyBorder="1">
      <alignment horizontal="left" vertical="center" indent="1"/>
    </xf>
    <xf numFmtId="0" fontId="44" fillId="8" borderId="0" xfId="1" applyFont="1" applyFill="1" applyBorder="1">
      <alignment horizontal="left" vertical="center" indent="1"/>
    </xf>
    <xf numFmtId="0" fontId="45" fillId="8" borderId="0" xfId="1" applyFont="1" applyFill="1" applyBorder="1">
      <alignment horizontal="left" vertical="center" indent="1"/>
    </xf>
    <xf numFmtId="0" fontId="1" fillId="8" borderId="0" xfId="0" applyFont="1" applyFill="1" applyAlignment="1">
      <alignment horizontal="left" vertical="center"/>
    </xf>
    <xf numFmtId="0" fontId="9" fillId="23" borderId="30" xfId="1" applyFont="1" applyFill="1" applyBorder="1">
      <alignment horizontal="left" vertical="center" indent="1"/>
    </xf>
    <xf numFmtId="0" fontId="9" fillId="23" borderId="31" xfId="1" applyFont="1" applyFill="1" applyBorder="1">
      <alignment horizontal="left" vertical="center" indent="1"/>
    </xf>
    <xf numFmtId="0" fontId="31" fillId="8" borderId="0" xfId="0" applyFont="1" applyFill="1"/>
    <xf numFmtId="0" fontId="47" fillId="23" borderId="40" xfId="1" applyFont="1" applyFill="1" applyBorder="1">
      <alignment horizontal="left" vertical="center" indent="1"/>
    </xf>
    <xf numFmtId="0" fontId="48" fillId="23" borderId="33" xfId="1" applyFont="1" applyFill="1" applyBorder="1">
      <alignment horizontal="left" vertical="center" indent="1"/>
    </xf>
    <xf numFmtId="0" fontId="43" fillId="23" borderId="0" xfId="0" applyFont="1" applyFill="1"/>
    <xf numFmtId="0" fontId="40" fillId="8" borderId="0" xfId="0" applyFont="1" applyFill="1" applyBorder="1"/>
    <xf numFmtId="0" fontId="40" fillId="8" borderId="28" xfId="1" applyFont="1" applyFill="1" applyBorder="1" applyAlignment="1">
      <alignment horizontal="right" vertical="center" indent="1"/>
    </xf>
    <xf numFmtId="0" fontId="44" fillId="8" borderId="0" xfId="0" applyFont="1" applyFill="1" applyBorder="1" applyAlignment="1">
      <alignment vertical="top"/>
    </xf>
    <xf numFmtId="0" fontId="21" fillId="0" borderId="0" xfId="2" applyAlignment="1">
      <alignment vertical="center"/>
    </xf>
    <xf numFmtId="0" fontId="33" fillId="8" borderId="0" xfId="0" applyFont="1" applyFill="1" applyBorder="1" applyAlignment="1">
      <alignment vertical="top" wrapText="1"/>
    </xf>
    <xf numFmtId="0" fontId="49" fillId="18" borderId="0" xfId="0" applyFont="1" applyFill="1" applyAlignment="1">
      <alignment horizontal="right" vertical="center"/>
    </xf>
    <xf numFmtId="0" fontId="50" fillId="8" borderId="19" xfId="2" applyFont="1" applyFill="1" applyBorder="1" applyAlignment="1">
      <alignment horizontal="center" vertical="center" wrapText="1"/>
    </xf>
    <xf numFmtId="0" fontId="2" fillId="23" borderId="33" xfId="1" applyFont="1" applyFill="1" applyBorder="1">
      <alignment horizontal="left" vertical="center" indent="1"/>
    </xf>
    <xf numFmtId="0" fontId="47" fillId="23" borderId="34" xfId="1" applyFont="1" applyFill="1" applyBorder="1" applyAlignment="1">
      <alignment horizontal="right" vertical="center" indent="1"/>
    </xf>
    <xf numFmtId="0" fontId="3" fillId="8" borderId="26" xfId="0" applyFont="1" applyFill="1" applyBorder="1" applyAlignment="1">
      <alignment horizontal="left" indent="1"/>
    </xf>
    <xf numFmtId="0" fontId="0" fillId="8" borderId="27" xfId="0" applyFill="1" applyBorder="1"/>
    <xf numFmtId="0" fontId="0" fillId="8" borderId="28" xfId="0" applyFill="1" applyBorder="1"/>
    <xf numFmtId="0" fontId="51" fillId="18" borderId="0" xfId="0" applyFont="1" applyFill="1" applyAlignment="1">
      <alignment horizontal="left" vertical="center" indent="2"/>
    </xf>
    <xf numFmtId="0" fontId="2" fillId="8" borderId="0" xfId="0" applyFont="1" applyFill="1" applyAlignment="1">
      <alignment horizontal="center"/>
    </xf>
    <xf numFmtId="0" fontId="3" fillId="8" borderId="0" xfId="0" applyFont="1" applyFill="1" applyBorder="1"/>
    <xf numFmtId="0" fontId="9" fillId="8" borderId="0" xfId="1" applyFont="1" applyFill="1" applyBorder="1">
      <alignment horizontal="left" vertical="center" indent="1"/>
    </xf>
    <xf numFmtId="0" fontId="18" fillId="8" borderId="0" xfId="0" applyFont="1" applyFill="1" applyAlignment="1">
      <alignment horizontal="center" vertical="center"/>
    </xf>
    <xf numFmtId="0" fontId="20" fillId="8" borderId="0" xfId="0" applyFont="1" applyFill="1"/>
    <xf numFmtId="0" fontId="7" fillId="8" borderId="0" xfId="0" applyFont="1" applyFill="1"/>
    <xf numFmtId="0" fontId="23" fillId="8" borderId="0" xfId="0" applyFont="1" applyFill="1"/>
    <xf numFmtId="0" fontId="24" fillId="8" borderId="0" xfId="0" applyFont="1" applyFill="1"/>
    <xf numFmtId="0" fontId="28" fillId="8" borderId="0" xfId="0" applyFont="1" applyFill="1"/>
    <xf numFmtId="0" fontId="3" fillId="8" borderId="0" xfId="1" applyFont="1" applyFill="1" applyBorder="1" applyAlignment="1">
      <alignment horizontal="right" vertical="top" textRotation="30"/>
    </xf>
    <xf numFmtId="0" fontId="2" fillId="8" borderId="0" xfId="1" applyFont="1" applyFill="1" applyBorder="1" applyAlignment="1">
      <alignment horizontal="right" vertical="top" textRotation="30"/>
    </xf>
    <xf numFmtId="0" fontId="5" fillId="23" borderId="0" xfId="0" applyFont="1" applyFill="1" applyAlignment="1">
      <alignment horizontal="left" vertical="center"/>
    </xf>
    <xf numFmtId="0" fontId="31" fillId="8" borderId="0" xfId="1" applyFont="1" applyFill="1" applyBorder="1" applyAlignment="1">
      <alignment horizontal="right" vertical="top" textRotation="30"/>
    </xf>
    <xf numFmtId="0" fontId="40" fillId="8" borderId="0" xfId="0" applyFont="1" applyFill="1"/>
    <xf numFmtId="0" fontId="9" fillId="23" borderId="42" xfId="1" applyFont="1" applyFill="1" applyBorder="1">
      <alignment horizontal="left" vertical="center" indent="1"/>
    </xf>
    <xf numFmtId="0" fontId="52" fillId="12" borderId="0" xfId="0" applyFont="1" applyFill="1" applyAlignment="1">
      <alignment horizontal="center"/>
    </xf>
    <xf numFmtId="0" fontId="53" fillId="12" borderId="0" xfId="0" applyFont="1" applyFill="1" applyAlignment="1">
      <alignment horizontal="center"/>
    </xf>
    <xf numFmtId="0" fontId="54" fillId="12" borderId="0" xfId="0" applyFont="1" applyFill="1" applyAlignment="1">
      <alignment horizontal="center"/>
    </xf>
    <xf numFmtId="0" fontId="54" fillId="12" borderId="7" xfId="0" applyFont="1" applyFill="1" applyBorder="1" applyAlignment="1">
      <alignment horizontal="center"/>
    </xf>
    <xf numFmtId="0" fontId="54" fillId="12" borderId="0" xfId="0" applyFont="1" applyFill="1" applyBorder="1" applyAlignment="1">
      <alignment horizontal="center"/>
    </xf>
    <xf numFmtId="0" fontId="9" fillId="18" borderId="8" xfId="1" applyFont="1" applyFill="1" applyBorder="1">
      <alignment horizontal="left" vertical="center" indent="1"/>
    </xf>
    <xf numFmtId="0" fontId="27" fillId="18" borderId="7" xfId="1" applyFont="1" applyFill="1" applyBorder="1">
      <alignment horizontal="left" vertical="center" indent="1"/>
    </xf>
    <xf numFmtId="0" fontId="27" fillId="18" borderId="9" xfId="1" applyFont="1" applyFill="1" applyBorder="1">
      <alignment horizontal="left" vertical="center" indent="1"/>
    </xf>
    <xf numFmtId="0" fontId="0" fillId="19" borderId="6" xfId="0" applyFill="1" applyBorder="1"/>
    <xf numFmtId="0" fontId="9" fillId="18" borderId="11" xfId="1" applyFont="1" applyFill="1" applyBorder="1" applyAlignment="1">
      <alignment vertical="center"/>
    </xf>
    <xf numFmtId="0" fontId="3" fillId="19" borderId="0" xfId="1" applyFont="1" applyFill="1" applyBorder="1" applyAlignment="1">
      <alignment horizontal="right" vertical="top" indent="1"/>
    </xf>
    <xf numFmtId="0" fontId="1" fillId="24" borderId="0" xfId="0" applyFont="1" applyFill="1" applyAlignment="1">
      <alignment horizontal="left" vertical="center"/>
    </xf>
    <xf numFmtId="0" fontId="0" fillId="0" borderId="0" xfId="0" applyFill="1" applyBorder="1" applyAlignment="1">
      <alignment horizontal="left" vertical="center"/>
    </xf>
    <xf numFmtId="0" fontId="56" fillId="0" borderId="0" xfId="0" applyFont="1" applyBorder="1" applyAlignment="1">
      <alignment horizontal="left" vertical="center"/>
    </xf>
    <xf numFmtId="0" fontId="13" fillId="0" borderId="0" xfId="0" applyFont="1" applyFill="1"/>
    <xf numFmtId="0" fontId="57" fillId="0" borderId="0" xfId="0" applyFont="1" applyFill="1"/>
    <xf numFmtId="0" fontId="0" fillId="0" borderId="0" xfId="0" applyFont="1" applyFill="1" applyAlignment="1">
      <alignment horizontal="right"/>
    </xf>
    <xf numFmtId="0" fontId="0" fillId="0" borderId="0" xfId="0" applyNumberFormat="1" applyFill="1" applyAlignment="1">
      <alignment horizontal="right"/>
    </xf>
    <xf numFmtId="0" fontId="0" fillId="15" borderId="0" xfId="0" applyFont="1" applyFill="1" applyAlignment="1">
      <alignment horizontal="right" vertical="center"/>
    </xf>
    <xf numFmtId="0" fontId="0" fillId="15" borderId="0" xfId="0" applyFill="1" applyAlignment="1">
      <alignment horizontal="right" vertical="center"/>
    </xf>
    <xf numFmtId="0" fontId="0" fillId="15" borderId="0" xfId="0" applyFill="1" applyAlignment="1">
      <alignment horizontal="left" vertical="center"/>
    </xf>
    <xf numFmtId="0" fontId="1" fillId="15" borderId="0" xfId="0" applyFont="1" applyFill="1" applyAlignment="1">
      <alignment horizontal="right" vertical="center"/>
    </xf>
    <xf numFmtId="0" fontId="0" fillId="8" borderId="0" xfId="0" applyFill="1" applyAlignment="1">
      <alignment horizontal="right" vertical="center"/>
    </xf>
    <xf numFmtId="0" fontId="0" fillId="7" borderId="0" xfId="0" applyFill="1"/>
    <xf numFmtId="0" fontId="58" fillId="0" borderId="0" xfId="0" applyFont="1"/>
    <xf numFmtId="0" fontId="1" fillId="0" borderId="0" xfId="0" applyFont="1" applyFill="1" applyAlignment="1">
      <alignment horizontal="right" vertical="center"/>
    </xf>
    <xf numFmtId="0" fontId="0" fillId="0" borderId="24" xfId="0" applyFill="1" applyBorder="1" applyAlignment="1">
      <alignment horizontal="left" vertical="center"/>
    </xf>
    <xf numFmtId="0" fontId="0" fillId="0" borderId="46" xfId="0" applyFill="1" applyBorder="1" applyAlignment="1">
      <alignment horizontal="left" vertical="center"/>
    </xf>
    <xf numFmtId="0" fontId="28" fillId="19" borderId="14" xfId="0" applyFont="1" applyFill="1" applyBorder="1"/>
    <xf numFmtId="0" fontId="28" fillId="19" borderId="47" xfId="0" applyFont="1" applyFill="1" applyBorder="1"/>
    <xf numFmtId="0" fontId="0" fillId="12" borderId="14" xfId="0" applyFill="1" applyBorder="1" applyAlignment="1">
      <alignment horizontal="center"/>
    </xf>
    <xf numFmtId="0" fontId="50" fillId="19" borderId="19" xfId="2" applyFont="1" applyFill="1" applyBorder="1" applyAlignment="1">
      <alignment horizontal="center" vertical="center" wrapText="1"/>
    </xf>
    <xf numFmtId="0" fontId="9" fillId="23" borderId="42" xfId="1" applyFont="1" applyFill="1" applyBorder="1" applyAlignment="1">
      <alignment horizontal="center" vertical="center"/>
    </xf>
    <xf numFmtId="0" fontId="44" fillId="8" borderId="35" xfId="0" applyFont="1" applyFill="1" applyBorder="1" applyAlignment="1">
      <alignment vertical="top"/>
    </xf>
    <xf numFmtId="0" fontId="61" fillId="8" borderId="0" xfId="0" applyFont="1" applyFill="1" applyBorder="1" applyAlignment="1">
      <alignment horizontal="left" indent="1"/>
    </xf>
    <xf numFmtId="0" fontId="44" fillId="8" borderId="0" xfId="0" applyFont="1" applyFill="1" applyBorder="1" applyAlignment="1">
      <alignment wrapText="1"/>
    </xf>
    <xf numFmtId="0" fontId="34" fillId="8" borderId="0" xfId="0" applyFont="1" applyFill="1" applyBorder="1" applyAlignment="1">
      <alignment vertical="center"/>
    </xf>
    <xf numFmtId="0" fontId="47" fillId="23" borderId="31" xfId="1" applyFont="1" applyFill="1" applyBorder="1" applyAlignment="1">
      <alignment horizontal="right" vertical="center" indent="1"/>
    </xf>
    <xf numFmtId="0" fontId="27" fillId="18" borderId="0" xfId="0" applyFont="1" applyFill="1"/>
    <xf numFmtId="0" fontId="9" fillId="18" borderId="10" xfId="1" applyFont="1" applyFill="1" applyBorder="1" applyAlignment="1">
      <alignment horizontal="left" vertical="center"/>
    </xf>
    <xf numFmtId="0" fontId="62" fillId="18" borderId="12" xfId="1" applyFont="1" applyFill="1" applyBorder="1" applyAlignment="1">
      <alignment horizontal="right" vertical="center" indent="1"/>
    </xf>
    <xf numFmtId="0" fontId="63" fillId="0" borderId="0" xfId="0" applyFont="1" applyAlignment="1">
      <alignment vertical="center"/>
    </xf>
    <xf numFmtId="0" fontId="64" fillId="0" borderId="0" xfId="0" applyFont="1" applyAlignment="1">
      <alignment vertical="center"/>
    </xf>
    <xf numFmtId="0" fontId="64" fillId="0" borderId="0" xfId="0" applyFont="1"/>
    <xf numFmtId="0" fontId="63" fillId="0" borderId="0" xfId="0" applyFont="1"/>
    <xf numFmtId="0" fontId="65" fillId="0" borderId="0" xfId="0" applyFont="1" applyAlignment="1">
      <alignment vertical="center"/>
    </xf>
    <xf numFmtId="0" fontId="0" fillId="19" borderId="48" xfId="0" applyFill="1" applyBorder="1"/>
    <xf numFmtId="0" fontId="0" fillId="19" borderId="49" xfId="1" applyFont="1" applyFill="1" applyBorder="1">
      <alignment horizontal="left" vertical="center" indent="1"/>
    </xf>
    <xf numFmtId="0" fontId="3" fillId="19" borderId="6" xfId="1" applyFont="1" applyFill="1" applyBorder="1" applyAlignment="1">
      <alignment horizontal="right" vertical="center" indent="1"/>
    </xf>
    <xf numFmtId="0" fontId="0" fillId="19" borderId="6" xfId="0" applyFill="1" applyBorder="1" applyAlignment="1">
      <alignment horizontal="right"/>
    </xf>
    <xf numFmtId="0" fontId="28" fillId="19" borderId="15" xfId="0" applyFont="1" applyFill="1" applyBorder="1"/>
    <xf numFmtId="0" fontId="3" fillId="19" borderId="50" xfId="1" applyFont="1" applyFill="1" applyBorder="1">
      <alignment horizontal="left" vertical="center" indent="1"/>
    </xf>
    <xf numFmtId="0" fontId="0" fillId="19" borderId="51" xfId="0" applyFill="1" applyBorder="1"/>
    <xf numFmtId="0" fontId="0" fillId="19" borderId="52" xfId="0" applyFill="1" applyBorder="1"/>
    <xf numFmtId="0" fontId="0" fillId="19" borderId="2" xfId="0" applyFill="1" applyBorder="1" applyAlignment="1">
      <alignment horizontal="center"/>
    </xf>
    <xf numFmtId="0" fontId="0" fillId="19" borderId="52" xfId="0" applyFill="1" applyBorder="1" applyAlignment="1">
      <alignment horizontal="right"/>
    </xf>
    <xf numFmtId="0" fontId="26" fillId="19" borderId="14" xfId="0" applyFont="1" applyFill="1" applyBorder="1"/>
    <xf numFmtId="0" fontId="67" fillId="0" borderId="0" xfId="0" applyFont="1" applyFill="1" applyBorder="1" applyAlignment="1">
      <alignment vertical="center" wrapText="1"/>
    </xf>
    <xf numFmtId="0" fontId="26" fillId="0" borderId="0" xfId="0" applyFont="1" applyFill="1" applyBorder="1"/>
    <xf numFmtId="0" fontId="1" fillId="26" borderId="0" xfId="0" applyFont="1" applyFill="1" applyAlignment="1">
      <alignment horizontal="left" vertical="center"/>
    </xf>
    <xf numFmtId="0" fontId="1" fillId="27" borderId="0" xfId="0" applyFont="1" applyFill="1" applyAlignment="1">
      <alignment horizontal="left" vertical="center"/>
    </xf>
    <xf numFmtId="0" fontId="69" fillId="19" borderId="2" xfId="0" applyFont="1" applyFill="1" applyBorder="1"/>
    <xf numFmtId="0" fontId="33" fillId="19" borderId="2" xfId="0" applyFont="1" applyFill="1" applyBorder="1"/>
    <xf numFmtId="0" fontId="26" fillId="9" borderId="0" xfId="0" applyFont="1" applyFill="1"/>
    <xf numFmtId="0" fontId="13" fillId="28" borderId="0" xfId="0" applyFont="1" applyFill="1" applyBorder="1"/>
    <xf numFmtId="0" fontId="0" fillId="15" borderId="0" xfId="0" applyFill="1"/>
    <xf numFmtId="0" fontId="0" fillId="27" borderId="0" xfId="0" applyFill="1" applyBorder="1"/>
    <xf numFmtId="0" fontId="26" fillId="27" borderId="0" xfId="0" applyFont="1" applyFill="1" applyBorder="1"/>
    <xf numFmtId="0" fontId="26" fillId="27" borderId="0" xfId="0" applyFont="1" applyFill="1"/>
    <xf numFmtId="0" fontId="0" fillId="27" borderId="0" xfId="0" applyFill="1"/>
    <xf numFmtId="0" fontId="1" fillId="25" borderId="0" xfId="0" applyFont="1" applyFill="1" applyAlignment="1">
      <alignment horizontal="left" vertical="center"/>
    </xf>
    <xf numFmtId="0" fontId="1" fillId="21" borderId="0" xfId="0" applyFont="1" applyFill="1" applyAlignment="1">
      <alignment horizontal="left" vertical="center"/>
    </xf>
    <xf numFmtId="0" fontId="1" fillId="29" borderId="0" xfId="0" applyFont="1" applyFill="1" applyAlignment="1">
      <alignment horizontal="left" vertical="center"/>
    </xf>
    <xf numFmtId="0" fontId="1" fillId="31" borderId="0" xfId="0" applyFont="1" applyFill="1" applyAlignment="1">
      <alignment horizontal="left" vertical="center"/>
    </xf>
    <xf numFmtId="0" fontId="1" fillId="30" borderId="0" xfId="0" applyFont="1" applyFill="1" applyBorder="1" applyAlignment="1">
      <alignment horizontal="left" vertical="center"/>
    </xf>
    <xf numFmtId="0" fontId="1" fillId="32" borderId="0" xfId="0" applyFont="1" applyFill="1" applyAlignment="1">
      <alignment horizontal="left" vertical="center"/>
    </xf>
    <xf numFmtId="0" fontId="26" fillId="0" borderId="0" xfId="0" applyFont="1" applyAlignment="1">
      <alignment horizontal="left" vertical="center"/>
    </xf>
    <xf numFmtId="0" fontId="68" fillId="0" borderId="0" xfId="0" applyFont="1"/>
    <xf numFmtId="0" fontId="26" fillId="0" borderId="0" xfId="0" applyFont="1" applyFill="1"/>
    <xf numFmtId="0" fontId="68" fillId="0" borderId="0" xfId="0" applyFont="1" applyAlignment="1">
      <alignment horizontal="left" vertical="center"/>
    </xf>
    <xf numFmtId="0" fontId="68" fillId="0" borderId="0" xfId="0" applyFont="1" applyFill="1"/>
    <xf numFmtId="0" fontId="26" fillId="19" borderId="47" xfId="0" applyFont="1" applyFill="1" applyBorder="1"/>
    <xf numFmtId="0" fontId="26" fillId="19" borderId="0" xfId="0" applyFont="1" applyFill="1"/>
    <xf numFmtId="0" fontId="1" fillId="27" borderId="0" xfId="0" applyFont="1" applyFill="1"/>
    <xf numFmtId="0" fontId="13" fillId="27" borderId="0" xfId="0" applyFont="1" applyFill="1" applyBorder="1"/>
    <xf numFmtId="0" fontId="1" fillId="5" borderId="0" xfId="0" applyFont="1" applyFill="1"/>
    <xf numFmtId="0" fontId="13" fillId="5" borderId="0" xfId="0" applyFont="1" applyFill="1" applyBorder="1"/>
    <xf numFmtId="0" fontId="68" fillId="5" borderId="0" xfId="0" applyFont="1" applyFill="1"/>
    <xf numFmtId="0" fontId="0" fillId="19" borderId="2" xfId="0" applyFill="1" applyBorder="1"/>
    <xf numFmtId="0" fontId="2" fillId="18" borderId="53" xfId="1" applyFont="1" applyFill="1" applyBorder="1" applyAlignment="1">
      <alignment horizontal="right" vertical="center" indent="1"/>
    </xf>
    <xf numFmtId="0" fontId="60" fillId="19" borderId="0" xfId="0" applyFont="1" applyFill="1" applyBorder="1" applyAlignment="1">
      <alignment vertical="top" wrapText="1"/>
    </xf>
    <xf numFmtId="0" fontId="26" fillId="19" borderId="15" xfId="0" applyFont="1" applyFill="1" applyBorder="1"/>
    <xf numFmtId="0" fontId="72" fillId="19" borderId="0" xfId="0" applyFont="1" applyFill="1" applyBorder="1"/>
    <xf numFmtId="0" fontId="70" fillId="19" borderId="0" xfId="0" applyFont="1" applyFill="1" applyAlignment="1">
      <alignment vertical="center" wrapText="1"/>
    </xf>
    <xf numFmtId="0" fontId="60" fillId="19" borderId="56" xfId="0" applyFont="1" applyFill="1" applyBorder="1" applyAlignment="1">
      <alignment vertical="top" wrapText="1"/>
    </xf>
    <xf numFmtId="0" fontId="12" fillId="19" borderId="0" xfId="0" applyFont="1" applyFill="1" applyBorder="1" applyAlignment="1">
      <alignment horizontal="left" indent="1"/>
    </xf>
    <xf numFmtId="0" fontId="71" fillId="19" borderId="0" xfId="0" applyFont="1" applyFill="1" applyBorder="1" applyAlignment="1">
      <alignment vertical="top" wrapText="1"/>
    </xf>
    <xf numFmtId="0" fontId="9" fillId="18" borderId="65" xfId="1" applyFont="1" applyFill="1" applyBorder="1">
      <alignment horizontal="left" vertical="center" indent="1"/>
    </xf>
    <xf numFmtId="0" fontId="3" fillId="18" borderId="16" xfId="1" applyFont="1" applyFill="1" applyBorder="1">
      <alignment horizontal="left" vertical="center" indent="1"/>
    </xf>
    <xf numFmtId="0" fontId="2" fillId="18" borderId="66" xfId="1" applyFont="1" applyFill="1" applyBorder="1" applyAlignment="1">
      <alignment horizontal="right" vertical="center" indent="1"/>
    </xf>
    <xf numFmtId="0" fontId="3" fillId="19" borderId="60" xfId="1" applyFont="1" applyFill="1" applyBorder="1">
      <alignment horizontal="left" vertical="center" indent="1"/>
    </xf>
    <xf numFmtId="0" fontId="2" fillId="19" borderId="61" xfId="1" applyFont="1" applyFill="1" applyBorder="1">
      <alignment horizontal="left" vertical="center" indent="1"/>
    </xf>
    <xf numFmtId="0" fontId="0" fillId="19" borderId="54" xfId="0" applyFill="1" applyBorder="1"/>
    <xf numFmtId="0" fontId="3" fillId="19" borderId="57" xfId="1" applyFont="1" applyFill="1" applyBorder="1" applyAlignment="1">
      <alignment horizontal="right" vertical="center" indent="1"/>
    </xf>
    <xf numFmtId="0" fontId="0" fillId="19" borderId="55" xfId="0" applyFill="1" applyBorder="1"/>
    <xf numFmtId="0" fontId="0" fillId="19" borderId="56" xfId="0" applyFill="1" applyBorder="1"/>
    <xf numFmtId="0" fontId="0" fillId="19" borderId="58" xfId="0" applyFill="1" applyBorder="1"/>
    <xf numFmtId="0" fontId="59" fillId="0" borderId="0" xfId="0" applyFont="1"/>
    <xf numFmtId="0" fontId="28" fillId="19" borderId="45" xfId="0" applyFont="1" applyFill="1" applyBorder="1"/>
    <xf numFmtId="0" fontId="28" fillId="19" borderId="0" xfId="1" applyFont="1" applyFill="1" applyBorder="1">
      <alignment horizontal="left" vertical="center" indent="1"/>
    </xf>
    <xf numFmtId="0" fontId="28" fillId="19" borderId="59" xfId="1" applyFont="1" applyFill="1" applyBorder="1">
      <alignment horizontal="left" vertical="center" indent="1"/>
    </xf>
    <xf numFmtId="0" fontId="28" fillId="19" borderId="9" xfId="1" applyFont="1" applyFill="1" applyBorder="1" applyAlignment="1">
      <alignment horizontal="right" vertical="center" indent="1"/>
    </xf>
    <xf numFmtId="0" fontId="28" fillId="19" borderId="14" xfId="1" applyFont="1" applyFill="1" applyBorder="1" applyAlignment="1">
      <alignment horizontal="right" vertical="center" indent="1"/>
    </xf>
    <xf numFmtId="0" fontId="0" fillId="8" borderId="0" xfId="0" applyFont="1" applyFill="1" applyAlignment="1">
      <alignment horizontal="right" vertical="center"/>
    </xf>
    <xf numFmtId="0" fontId="0" fillId="7" borderId="0" xfId="0" applyFont="1" applyFill="1" applyAlignment="1">
      <alignment horizontal="right" vertical="center"/>
    </xf>
    <xf numFmtId="0" fontId="0" fillId="0" borderId="67" xfId="0" applyBorder="1" applyAlignment="1">
      <alignment horizontal="left" vertical="center"/>
    </xf>
    <xf numFmtId="0" fontId="0" fillId="0" borderId="67" xfId="0" applyBorder="1" applyAlignment="1">
      <alignment horizontal="center" vertical="center"/>
    </xf>
    <xf numFmtId="0" fontId="0" fillId="0" borderId="67" xfId="0" applyFont="1" applyBorder="1" applyAlignment="1">
      <alignment horizontal="right" vertical="center"/>
    </xf>
    <xf numFmtId="0" fontId="0" fillId="11" borderId="67" xfId="0" applyFont="1" applyFill="1" applyBorder="1" applyAlignment="1">
      <alignment horizontal="right" vertical="center"/>
    </xf>
    <xf numFmtId="0" fontId="0" fillId="8" borderId="67" xfId="0" applyFont="1" applyFill="1" applyBorder="1" applyAlignment="1">
      <alignment horizontal="right" vertical="center"/>
    </xf>
    <xf numFmtId="0" fontId="26" fillId="7" borderId="67" xfId="0" applyFont="1" applyFill="1" applyBorder="1" applyAlignment="1">
      <alignment horizontal="righ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0" fillId="11" borderId="0" xfId="0" applyFont="1" applyFill="1" applyBorder="1" applyAlignment="1">
      <alignment horizontal="right" vertical="center"/>
    </xf>
    <xf numFmtId="0" fontId="0" fillId="8" borderId="0" xfId="0" applyFont="1" applyFill="1" applyBorder="1" applyAlignment="1">
      <alignment horizontal="right" vertical="center"/>
    </xf>
    <xf numFmtId="0" fontId="26" fillId="7" borderId="0" xfId="0" applyFont="1" applyFill="1" applyBorder="1" applyAlignment="1">
      <alignment horizontal="right" vertical="center"/>
    </xf>
    <xf numFmtId="0" fontId="0" fillId="0" borderId="24" xfId="0" applyBorder="1" applyAlignment="1">
      <alignment horizontal="left" vertical="center"/>
    </xf>
    <xf numFmtId="0" fontId="0" fillId="0" borderId="24" xfId="0" applyBorder="1" applyAlignment="1">
      <alignment horizontal="center" vertical="center"/>
    </xf>
    <xf numFmtId="0" fontId="0" fillId="0" borderId="24" xfId="0" applyFont="1" applyBorder="1" applyAlignment="1">
      <alignment horizontal="right" vertical="center"/>
    </xf>
    <xf numFmtId="0" fontId="0" fillId="11" borderId="24" xfId="0" applyFont="1" applyFill="1" applyBorder="1" applyAlignment="1">
      <alignment horizontal="right" vertical="center"/>
    </xf>
    <xf numFmtId="0" fontId="0" fillId="8" borderId="24" xfId="0" applyFont="1" applyFill="1" applyBorder="1" applyAlignment="1">
      <alignment horizontal="right" vertical="center"/>
    </xf>
    <xf numFmtId="0" fontId="26" fillId="7" borderId="24" xfId="0" applyFont="1" applyFill="1" applyBorder="1" applyAlignment="1">
      <alignment horizontal="right" vertical="center"/>
    </xf>
    <xf numFmtId="0" fontId="0" fillId="0" borderId="67" xfId="0" applyFont="1" applyFill="1" applyBorder="1" applyAlignment="1">
      <alignment horizontal="right" vertical="center"/>
    </xf>
    <xf numFmtId="0" fontId="0" fillId="7" borderId="67" xfId="0" applyFont="1" applyFill="1" applyBorder="1" applyAlignment="1">
      <alignment horizontal="right" vertical="center"/>
    </xf>
    <xf numFmtId="0" fontId="0" fillId="0" borderId="0" xfId="0" applyFont="1" applyFill="1" applyBorder="1" applyAlignment="1">
      <alignment horizontal="right" vertical="center"/>
    </xf>
    <xf numFmtId="0" fontId="0" fillId="7" borderId="0" xfId="0" applyFont="1" applyFill="1" applyBorder="1" applyAlignment="1">
      <alignment horizontal="right" vertical="center"/>
    </xf>
    <xf numFmtId="0" fontId="0" fillId="9" borderId="0" xfId="0" applyFont="1" applyFill="1" applyBorder="1" applyAlignment="1">
      <alignment horizontal="right" vertical="center"/>
    </xf>
    <xf numFmtId="0" fontId="0" fillId="9" borderId="24" xfId="0" applyFont="1" applyFill="1" applyBorder="1" applyAlignment="1">
      <alignment horizontal="right" vertical="center"/>
    </xf>
    <xf numFmtId="0" fontId="0" fillId="7" borderId="24" xfId="0" applyFont="1" applyFill="1" applyBorder="1" applyAlignment="1">
      <alignment horizontal="right" vertical="center"/>
    </xf>
    <xf numFmtId="0" fontId="28" fillId="19" borderId="2" xfId="0" applyFont="1" applyFill="1" applyBorder="1"/>
    <xf numFmtId="0" fontId="9" fillId="18" borderId="20" xfId="1" applyFont="1" applyFill="1" applyBorder="1" applyAlignment="1">
      <alignment horizontal="center" vertical="center"/>
    </xf>
    <xf numFmtId="0" fontId="42" fillId="0" borderId="0" xfId="0" applyFont="1"/>
    <xf numFmtId="0" fontId="0" fillId="0" borderId="46" xfId="0" applyFill="1" applyBorder="1" applyAlignment="1">
      <alignment horizontal="center" vertical="center"/>
    </xf>
    <xf numFmtId="0" fontId="1" fillId="0" borderId="0" xfId="0" applyFont="1" applyFill="1" applyBorder="1"/>
    <xf numFmtId="0" fontId="0" fillId="0" borderId="0" xfId="0" applyNumberFormat="1" applyFill="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2" borderId="0" xfId="0" applyFill="1" applyAlignment="1">
      <alignment horizontal="center"/>
    </xf>
    <xf numFmtId="0" fontId="0" fillId="5"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0" borderId="0" xfId="0" applyAlignment="1">
      <alignment horizontal="center"/>
    </xf>
    <xf numFmtId="0" fontId="0" fillId="0" borderId="0" xfId="0" applyFill="1" applyAlignment="1">
      <alignment horizontal="center"/>
    </xf>
    <xf numFmtId="0" fontId="0" fillId="15" borderId="0" xfId="0" applyFont="1" applyFill="1" applyAlignment="1">
      <alignment horizontal="center" vertical="center"/>
    </xf>
    <xf numFmtId="0" fontId="0" fillId="0" borderId="0" xfId="0" applyFont="1" applyFill="1" applyAlignment="1">
      <alignment horizontal="center" vertical="center"/>
    </xf>
    <xf numFmtId="0" fontId="0" fillId="8" borderId="0" xfId="0" applyFill="1" applyAlignment="1">
      <alignment horizontal="center" vertical="center"/>
    </xf>
    <xf numFmtId="0" fontId="0" fillId="7" borderId="0" xfId="0" applyFill="1" applyAlignment="1">
      <alignment horizontal="center"/>
    </xf>
    <xf numFmtId="0" fontId="68" fillId="3" borderId="0" xfId="0" applyFont="1" applyFill="1" applyAlignment="1">
      <alignment horizontal="left" vertical="center"/>
    </xf>
    <xf numFmtId="0" fontId="0" fillId="0" borderId="0" xfId="0" applyFont="1" applyBorder="1" applyAlignment="1">
      <alignment horizontal="left" vertical="center"/>
    </xf>
    <xf numFmtId="0" fontId="0" fillId="27" borderId="0" xfId="0" applyFont="1" applyFill="1" applyBorder="1"/>
    <xf numFmtId="0" fontId="26" fillId="19" borderId="68" xfId="0" applyFont="1" applyFill="1" applyBorder="1"/>
    <xf numFmtId="0" fontId="74" fillId="18" borderId="22" xfId="1" applyFont="1" applyFill="1" applyBorder="1">
      <alignment horizontal="left" vertical="center" indent="1"/>
    </xf>
    <xf numFmtId="0" fontId="53" fillId="12" borderId="0" xfId="0" applyFont="1" applyFill="1" applyAlignment="1">
      <alignment horizontal="center"/>
    </xf>
    <xf numFmtId="0" fontId="36" fillId="12" borderId="0" xfId="0" applyFont="1" applyFill="1" applyAlignment="1">
      <alignment horizontal="left" vertical="center" wrapText="1"/>
    </xf>
    <xf numFmtId="0" fontId="36" fillId="12" borderId="0" xfId="0" applyFont="1" applyFill="1" applyAlignment="1">
      <alignment horizontal="left" vertical="top" wrapText="1"/>
    </xf>
    <xf numFmtId="0" fontId="3" fillId="19" borderId="8" xfId="1" applyFont="1" applyFill="1" applyBorder="1" applyAlignment="1">
      <alignment horizontal="left" vertical="center" wrapText="1" indent="1"/>
    </xf>
    <xf numFmtId="0" fontId="3" fillId="19" borderId="7" xfId="1" applyFont="1" applyFill="1" applyBorder="1" applyAlignment="1">
      <alignment horizontal="left" vertical="center" wrapText="1" indent="1"/>
    </xf>
    <xf numFmtId="0" fontId="3" fillId="19" borderId="9" xfId="1" applyFont="1" applyFill="1" applyBorder="1" applyAlignment="1">
      <alignment horizontal="left" vertical="center" wrapText="1" indent="1"/>
    </xf>
    <xf numFmtId="0" fontId="31" fillId="15" borderId="11" xfId="2" applyFont="1" applyFill="1" applyBorder="1" applyAlignment="1">
      <alignment horizontal="center" vertical="center"/>
    </xf>
    <xf numFmtId="0" fontId="31" fillId="15" borderId="12" xfId="2" applyFont="1" applyFill="1" applyBorder="1" applyAlignment="1">
      <alignment horizontal="center" vertical="center"/>
    </xf>
    <xf numFmtId="0" fontId="11" fillId="19" borderId="7" xfId="0" applyFont="1" applyFill="1" applyBorder="1" applyAlignment="1">
      <alignment horizontal="left" vertical="top" wrapText="1"/>
    </xf>
    <xf numFmtId="0" fontId="33" fillId="19" borderId="0" xfId="0" applyFont="1" applyFill="1" applyBorder="1" applyAlignment="1">
      <alignment horizontal="left" vertical="top" wrapText="1"/>
    </xf>
    <xf numFmtId="0" fontId="33" fillId="19" borderId="2" xfId="0" applyFont="1" applyFill="1" applyBorder="1" applyAlignment="1">
      <alignment horizontal="left" vertical="top" wrapText="1"/>
    </xf>
    <xf numFmtId="0" fontId="60" fillId="19" borderId="60" xfId="0" applyFont="1" applyFill="1" applyBorder="1" applyAlignment="1">
      <alignment horizontal="left" vertical="center" wrapText="1"/>
    </xf>
    <xf numFmtId="0" fontId="60" fillId="19" borderId="59" xfId="0" applyFont="1" applyFill="1" applyBorder="1" applyAlignment="1">
      <alignment horizontal="left" vertical="center" wrapText="1"/>
    </xf>
    <xf numFmtId="0" fontId="60" fillId="19" borderId="61" xfId="0" applyFont="1" applyFill="1" applyBorder="1" applyAlignment="1">
      <alignment horizontal="left" vertical="center" wrapText="1"/>
    </xf>
    <xf numFmtId="0" fontId="60" fillId="19" borderId="55" xfId="0" applyFont="1" applyFill="1" applyBorder="1" applyAlignment="1">
      <alignment horizontal="left" vertical="center" wrapText="1"/>
    </xf>
    <xf numFmtId="0" fontId="60" fillId="19" borderId="56" xfId="0" applyFont="1" applyFill="1" applyBorder="1" applyAlignment="1">
      <alignment horizontal="left" vertical="center" wrapText="1"/>
    </xf>
    <xf numFmtId="0" fontId="60" fillId="19" borderId="58" xfId="0" applyFont="1" applyFill="1" applyBorder="1" applyAlignment="1">
      <alignment horizontal="left" vertical="center" wrapText="1"/>
    </xf>
    <xf numFmtId="0" fontId="60" fillId="19" borderId="62" xfId="0" applyFont="1" applyFill="1" applyBorder="1" applyAlignment="1">
      <alignment horizontal="center" vertical="top" wrapText="1"/>
    </xf>
    <xf numFmtId="0" fontId="60" fillId="19" borderId="63" xfId="0" applyFont="1" applyFill="1" applyBorder="1" applyAlignment="1">
      <alignment horizontal="center" vertical="top" wrapText="1"/>
    </xf>
    <xf numFmtId="0" fontId="60" fillId="19" borderId="64" xfId="0" applyFont="1" applyFill="1" applyBorder="1" applyAlignment="1">
      <alignment horizontal="center" vertical="top" wrapText="1"/>
    </xf>
    <xf numFmtId="0" fontId="73" fillId="19" borderId="60" xfId="0" applyFont="1" applyFill="1" applyBorder="1" applyAlignment="1">
      <alignment horizontal="left" vertical="top" wrapText="1"/>
    </xf>
    <xf numFmtId="0" fontId="73" fillId="19" borderId="59" xfId="0" applyFont="1" applyFill="1" applyBorder="1" applyAlignment="1">
      <alignment horizontal="left" vertical="top" wrapText="1"/>
    </xf>
    <xf numFmtId="0" fontId="73" fillId="19" borderId="61" xfId="0" applyFont="1" applyFill="1" applyBorder="1" applyAlignment="1">
      <alignment horizontal="left" vertical="top" wrapText="1"/>
    </xf>
    <xf numFmtId="0" fontId="73" fillId="19" borderId="54" xfId="0" applyFont="1" applyFill="1" applyBorder="1" applyAlignment="1">
      <alignment horizontal="left" vertical="top" wrapText="1"/>
    </xf>
    <xf numFmtId="0" fontId="73" fillId="19" borderId="0" xfId="0" applyFont="1" applyFill="1" applyBorder="1" applyAlignment="1">
      <alignment horizontal="left" vertical="top" wrapText="1"/>
    </xf>
    <xf numFmtId="0" fontId="73" fillId="19" borderId="57" xfId="0" applyFont="1" applyFill="1" applyBorder="1" applyAlignment="1">
      <alignment horizontal="left" vertical="top" wrapText="1"/>
    </xf>
    <xf numFmtId="0" fontId="73" fillId="19" borderId="55" xfId="0" applyFont="1" applyFill="1" applyBorder="1" applyAlignment="1">
      <alignment horizontal="left" vertical="top" wrapText="1"/>
    </xf>
    <xf numFmtId="0" fontId="73" fillId="19" borderId="56" xfId="0" applyFont="1" applyFill="1" applyBorder="1" applyAlignment="1">
      <alignment horizontal="left" vertical="top" wrapText="1"/>
    </xf>
    <xf numFmtId="0" fontId="73" fillId="19" borderId="58" xfId="0" applyFont="1" applyFill="1" applyBorder="1" applyAlignment="1">
      <alignment horizontal="left" vertical="top" wrapText="1"/>
    </xf>
    <xf numFmtId="0" fontId="3" fillId="19" borderId="15" xfId="1" applyFont="1" applyFill="1" applyBorder="1" applyAlignment="1">
      <alignment horizontal="left" vertical="center" indent="1"/>
    </xf>
    <xf numFmtId="0" fontId="3" fillId="19" borderId="0" xfId="1" applyFont="1" applyFill="1" applyBorder="1" applyAlignment="1">
      <alignment horizontal="left" vertical="center" indent="1"/>
    </xf>
    <xf numFmtId="0" fontId="60" fillId="19" borderId="62" xfId="0" applyFont="1" applyFill="1" applyBorder="1" applyAlignment="1">
      <alignment horizontal="left" vertical="top" wrapText="1"/>
    </xf>
    <xf numFmtId="0" fontId="60" fillId="19" borderId="63" xfId="0" applyFont="1" applyFill="1" applyBorder="1" applyAlignment="1">
      <alignment horizontal="left" vertical="top" wrapText="1"/>
    </xf>
    <xf numFmtId="0" fontId="60" fillId="19" borderId="64" xfId="0" applyFont="1" applyFill="1" applyBorder="1" applyAlignment="1">
      <alignment horizontal="left" vertical="top" wrapText="1"/>
    </xf>
    <xf numFmtId="0" fontId="9" fillId="18" borderId="3" xfId="1" applyFont="1" applyFill="1" applyBorder="1" applyAlignment="1">
      <alignment horizontal="center" vertical="center"/>
    </xf>
    <xf numFmtId="0" fontId="9" fillId="18" borderId="5" xfId="1" applyFont="1" applyFill="1" applyBorder="1" applyAlignment="1">
      <alignment horizontal="center" vertical="center"/>
    </xf>
    <xf numFmtId="0" fontId="9" fillId="18" borderId="4" xfId="1" applyFont="1" applyFill="1" applyBorder="1" applyAlignment="1">
      <alignment horizontal="center" vertical="center"/>
    </xf>
    <xf numFmtId="0" fontId="3" fillId="19" borderId="17" xfId="1" applyFont="1" applyFill="1" applyBorder="1" applyAlignment="1">
      <alignment horizontal="center" vertical="center"/>
    </xf>
    <xf numFmtId="0" fontId="3" fillId="19" borderId="11" xfId="1" applyFont="1" applyFill="1" applyBorder="1" applyAlignment="1">
      <alignment horizontal="center" vertical="center"/>
    </xf>
    <xf numFmtId="0" fontId="3" fillId="19" borderId="12" xfId="1" applyFont="1" applyFill="1" applyBorder="1" applyAlignment="1">
      <alignment horizontal="center" vertical="center"/>
    </xf>
    <xf numFmtId="0" fontId="3" fillId="19" borderId="3" xfId="1" applyFont="1" applyFill="1" applyBorder="1" applyAlignment="1">
      <alignment horizontal="center" vertical="center"/>
    </xf>
    <xf numFmtId="0" fontId="3" fillId="19" borderId="5" xfId="1" applyFont="1" applyFill="1" applyBorder="1" applyAlignment="1">
      <alignment horizontal="center" vertical="center"/>
    </xf>
    <xf numFmtId="0" fontId="3" fillId="19" borderId="4" xfId="1" applyFont="1" applyFill="1" applyBorder="1" applyAlignment="1">
      <alignment horizontal="center" vertical="center"/>
    </xf>
    <xf numFmtId="0" fontId="75" fillId="15" borderId="10" xfId="2" quotePrefix="1" applyFont="1" applyFill="1" applyBorder="1" applyAlignment="1">
      <alignment horizontal="center" vertical="center"/>
    </xf>
    <xf numFmtId="0" fontId="75" fillId="15" borderId="11" xfId="2" quotePrefix="1" applyFont="1" applyFill="1" applyBorder="1" applyAlignment="1">
      <alignment horizontal="center" vertical="center"/>
    </xf>
    <xf numFmtId="0" fontId="75" fillId="15" borderId="12" xfId="2" quotePrefix="1" applyFont="1" applyFill="1" applyBorder="1" applyAlignment="1">
      <alignment horizontal="center" vertical="center"/>
    </xf>
    <xf numFmtId="0" fontId="9" fillId="18" borderId="10" xfId="1" applyFont="1" applyFill="1" applyBorder="1" applyAlignment="1">
      <alignment horizontal="center" vertical="center"/>
    </xf>
    <xf numFmtId="0" fontId="9" fillId="18" borderId="12" xfId="1" applyFont="1" applyFill="1" applyBorder="1" applyAlignment="1">
      <alignment horizontal="center" vertical="center"/>
    </xf>
    <xf numFmtId="0" fontId="3" fillId="19" borderId="25" xfId="0" applyFont="1" applyFill="1" applyBorder="1" applyAlignment="1">
      <alignment horizontal="center" vertical="center"/>
    </xf>
    <xf numFmtId="0" fontId="3" fillId="19" borderId="5" xfId="0" applyFont="1" applyFill="1" applyBorder="1" applyAlignment="1">
      <alignment horizontal="center" vertical="center"/>
    </xf>
    <xf numFmtId="0" fontId="3" fillId="19" borderId="4" xfId="0" applyFont="1" applyFill="1" applyBorder="1" applyAlignment="1">
      <alignment horizontal="center" vertical="center"/>
    </xf>
    <xf numFmtId="0" fontId="44" fillId="8" borderId="0" xfId="0" applyFont="1" applyFill="1" applyBorder="1" applyAlignment="1">
      <alignment horizontal="left" wrapText="1"/>
    </xf>
    <xf numFmtId="0" fontId="31" fillId="8" borderId="32" xfId="1" applyFont="1" applyFill="1" applyBorder="1" applyAlignment="1">
      <alignment horizontal="left" vertical="center" wrapText="1" indent="1"/>
    </xf>
    <xf numFmtId="0" fontId="31" fillId="8" borderId="33" xfId="1" applyFont="1" applyFill="1" applyBorder="1" applyAlignment="1">
      <alignment horizontal="left" vertical="center" wrapText="1" indent="1"/>
    </xf>
    <xf numFmtId="0" fontId="31" fillId="8" borderId="30" xfId="1" applyFont="1" applyFill="1" applyBorder="1" applyAlignment="1">
      <alignment horizontal="left" vertical="center" wrapText="1" indent="1"/>
    </xf>
    <xf numFmtId="0" fontId="31" fillId="8" borderId="31" xfId="1" applyFont="1" applyFill="1" applyBorder="1" applyAlignment="1">
      <alignment horizontal="left" vertical="center" wrapText="1" indent="1"/>
    </xf>
    <xf numFmtId="0" fontId="2" fillId="23" borderId="0" xfId="2" applyFont="1" applyFill="1" applyBorder="1" applyAlignment="1">
      <alignment horizontal="center" vertical="center"/>
    </xf>
    <xf numFmtId="0" fontId="2" fillId="23" borderId="27" xfId="2" applyFont="1" applyFill="1" applyBorder="1" applyAlignment="1">
      <alignment horizontal="center" vertical="center"/>
    </xf>
    <xf numFmtId="0" fontId="31" fillId="8" borderId="29" xfId="1" applyFont="1" applyFill="1" applyBorder="1" applyAlignment="1">
      <alignment horizontal="left" vertical="center" wrapText="1" indent="1"/>
    </xf>
    <xf numFmtId="0" fontId="31" fillId="8" borderId="33" xfId="2" applyFont="1" applyFill="1" applyBorder="1" applyAlignment="1">
      <alignment horizontal="left" vertical="top" wrapText="1"/>
    </xf>
    <xf numFmtId="0" fontId="31" fillId="8" borderId="34" xfId="2" applyFont="1" applyFill="1" applyBorder="1" applyAlignment="1">
      <alignment horizontal="left" vertical="top" wrapText="1"/>
    </xf>
    <xf numFmtId="0" fontId="46" fillId="8" borderId="0" xfId="0" applyFont="1" applyFill="1" applyBorder="1" applyAlignment="1">
      <alignment horizontal="left" vertical="top" wrapText="1"/>
    </xf>
    <xf numFmtId="0" fontId="9" fillId="23" borderId="29" xfId="1" applyFont="1" applyFill="1" applyBorder="1" applyAlignment="1">
      <alignment horizontal="center" vertical="center"/>
    </xf>
    <xf numFmtId="0" fontId="9" fillId="23" borderId="31" xfId="1" applyFont="1" applyFill="1" applyBorder="1" applyAlignment="1">
      <alignment horizontal="center" vertical="center"/>
    </xf>
    <xf numFmtId="0" fontId="2" fillId="23" borderId="29" xfId="2" quotePrefix="1" applyFont="1" applyFill="1" applyBorder="1" applyAlignment="1">
      <alignment horizontal="center" vertical="center"/>
    </xf>
    <xf numFmtId="0" fontId="2" fillId="23" borderId="30" xfId="2" quotePrefix="1" applyFont="1" applyFill="1" applyBorder="1" applyAlignment="1">
      <alignment horizontal="center" vertical="center"/>
    </xf>
    <xf numFmtId="0" fontId="2" fillId="23" borderId="31" xfId="2" quotePrefix="1" applyFont="1" applyFill="1" applyBorder="1" applyAlignment="1">
      <alignment horizontal="center" vertical="center"/>
    </xf>
    <xf numFmtId="0" fontId="31" fillId="8" borderId="29" xfId="1" applyFont="1" applyFill="1" applyBorder="1" applyAlignment="1">
      <alignment horizontal="center" vertical="center"/>
    </xf>
    <xf numFmtId="0" fontId="31" fillId="8" borderId="30" xfId="1" applyFont="1" applyFill="1" applyBorder="1" applyAlignment="1">
      <alignment horizontal="center" vertical="center"/>
    </xf>
    <xf numFmtId="0" fontId="9" fillId="23" borderId="43" xfId="1" applyFont="1" applyFill="1" applyBorder="1" applyAlignment="1">
      <alignment horizontal="center" vertical="center"/>
    </xf>
    <xf numFmtId="0" fontId="31" fillId="8" borderId="44" xfId="1" applyFont="1" applyFill="1" applyBorder="1" applyAlignment="1">
      <alignment horizontal="center" vertical="center"/>
    </xf>
    <xf numFmtId="0" fontId="31" fillId="8" borderId="31" xfId="1" applyFont="1" applyFill="1" applyBorder="1" applyAlignment="1">
      <alignment horizontal="center" vertical="center"/>
    </xf>
    <xf numFmtId="0" fontId="31" fillId="8" borderId="29" xfId="0" applyFont="1" applyFill="1" applyBorder="1" applyAlignment="1">
      <alignment horizontal="center" vertical="center"/>
    </xf>
    <xf numFmtId="0" fontId="31" fillId="8" borderId="31" xfId="0" applyFont="1" applyFill="1" applyBorder="1" applyAlignment="1">
      <alignment horizontal="center" vertical="center"/>
    </xf>
  </cellXfs>
  <cellStyles count="3">
    <cellStyle name="Daniel" xfId="1" xr:uid="{00000000-0005-0000-0000-000000000000}"/>
    <cellStyle name="Link" xfId="2" builtinId="8"/>
    <cellStyle name="Normal" xfId="0" builtinId="0"/>
  </cellStyles>
  <dxfs count="105">
    <dxf>
      <font>
        <color theme="2" tint="-0.499984740745262"/>
      </font>
      <fill>
        <gradientFill degree="90">
          <stop position="0">
            <color rgb="FF009900"/>
          </stop>
          <stop position="1">
            <color rgb="FF33CC33"/>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ill>
        <patternFill patternType="lightDown"/>
      </fill>
      <border>
        <left style="thin">
          <color theme="8" tint="-0.499984740745262"/>
        </left>
        <right style="thin">
          <color theme="8" tint="-0.499984740745262"/>
        </right>
        <top style="thin">
          <color theme="8" tint="-0.499984740745262"/>
        </top>
        <bottom style="thin">
          <color theme="8" tint="-0.499984740745262"/>
        </bottom>
      </border>
    </dxf>
    <dxf>
      <fill>
        <patternFill patternType="lightDown"/>
      </fill>
      <border>
        <left style="thin">
          <color theme="8" tint="-0.499984740745262"/>
        </left>
        <right style="thin">
          <color theme="8" tint="-0.499984740745262"/>
        </right>
        <top style="thin">
          <color theme="8" tint="-0.499984740745262"/>
        </top>
        <bottom style="thin">
          <color theme="8" tint="-0.499984740745262"/>
        </bottom>
      </border>
    </dxf>
    <dxf>
      <font>
        <color theme="5" tint="0.39994506668294322"/>
      </font>
      <fill>
        <gradientFill degree="270">
          <stop position="0">
            <color theme="5" tint="0.40000610370189521"/>
          </stop>
          <stop position="1">
            <color theme="5" tint="-0.25098422193060094"/>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ill>
        <patternFill patternType="lightDown"/>
      </fill>
      <border>
        <left style="thin">
          <color theme="8" tint="-0.499984740745262"/>
        </left>
        <right style="thin">
          <color theme="8" tint="-0.499984740745262"/>
        </right>
        <top style="thin">
          <color theme="8" tint="-0.499984740745262"/>
        </top>
        <bottom style="thin">
          <color theme="8" tint="-0.499984740745262"/>
        </bottom>
      </border>
    </dxf>
    <dxf>
      <font>
        <color rgb="FFFF9900"/>
      </font>
      <fill>
        <gradientFill degree="270">
          <stop position="0">
            <color rgb="FFFF9900"/>
          </stop>
          <stop position="1">
            <color rgb="FFCC9900"/>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rgb="FFFFCC00"/>
      </font>
      <fill>
        <gradientFill degree="270">
          <stop position="0">
            <color rgb="FFFFCC00"/>
          </stop>
          <stop position="1">
            <color rgb="FFFF9900"/>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rgb="FFFFFF00"/>
      </font>
      <fill>
        <gradientFill degree="270">
          <stop position="0">
            <color rgb="FFFFFF00"/>
          </stop>
          <stop position="1">
            <color rgb="FFFFCC00"/>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theme="2" tint="-0.499984740745262"/>
      </font>
      <fill>
        <gradientFill degree="270">
          <stop position="0">
            <color theme="2" tint="-0.49803155613879818"/>
          </stop>
          <stop position="1">
            <color theme="2" tint="-0.74901577806939912"/>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theme="2" tint="-0.24994659260841701"/>
      </font>
      <fill>
        <gradientFill degree="270">
          <stop position="0">
            <color theme="2" tint="-0.25098422193060094"/>
          </stop>
          <stop position="1">
            <color theme="2" tint="-0.49803155613879818"/>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theme="3" tint="0.59996337778862885"/>
      </font>
      <fill>
        <gradientFill degree="270">
          <stop position="0">
            <color theme="3" tint="0.59999389629810485"/>
          </stop>
          <stop position="1">
            <color theme="3" tint="0.40000610370189521"/>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theme="7" tint="-0.24994659260841701"/>
      </font>
      <fill>
        <gradientFill degree="270">
          <stop position="0">
            <color theme="7" tint="-0.25098422193060094"/>
          </stop>
          <stop position="1">
            <color theme="7" tint="-0.49803155613879818"/>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theme="7" tint="0.39994506668294322"/>
      </font>
      <fill>
        <gradientFill degree="270">
          <stop position="0">
            <color theme="7" tint="0.40000610370189521"/>
          </stop>
          <stop position="1">
            <color theme="7" tint="-0.25098422193060094"/>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theme="7" tint="0.59996337778862885"/>
      </font>
      <fill>
        <gradientFill degree="270">
          <stop position="0">
            <color theme="7" tint="0.59999389629810485"/>
          </stop>
          <stop position="1">
            <color theme="7" tint="0.40000610370189521"/>
          </stop>
        </gradientFill>
      </fill>
      <border>
        <left style="thin">
          <color theme="8" tint="-0.499984740745262"/>
        </left>
        <right style="thin">
          <color theme="8" tint="-0.499984740745262"/>
        </right>
        <top style="thin">
          <color theme="8" tint="-0.499984740745262"/>
        </top>
        <bottom style="thin">
          <color theme="8" tint="-0.499984740745262"/>
        </bottom>
      </border>
    </dxf>
    <dxf>
      <font>
        <color theme="8" tint="-0.499984740745262"/>
      </font>
      <fill>
        <patternFill patternType="solid">
          <fgColor rgb="FF002060"/>
          <bgColor theme="8" tint="-0.499984740745262"/>
        </patternFill>
      </fill>
      <border>
        <left style="thin">
          <color theme="8" tint="-0.499984740745262"/>
        </left>
        <right style="thin">
          <color theme="8" tint="-0.499984740745262"/>
        </right>
        <top style="thin">
          <color theme="8" tint="-0.499984740745262"/>
        </top>
        <bottom style="thin">
          <color theme="8" tint="-0.499984740745262"/>
        </bottom>
        <vertical/>
        <horizontal/>
      </border>
    </dxf>
    <dxf>
      <fill>
        <patternFill>
          <bgColor rgb="FF92D050"/>
        </patternFill>
      </fill>
      <border>
        <left style="thin">
          <color theme="0"/>
        </left>
        <right style="thin">
          <color theme="0"/>
        </right>
        <top style="thin">
          <color theme="0"/>
        </top>
        <bottom style="thin">
          <color theme="0"/>
        </bottom>
        <vertical/>
        <horizontal/>
      </border>
    </dxf>
    <dxf>
      <font>
        <strike val="0"/>
        <color rgb="FF92D050"/>
      </font>
      <fill>
        <patternFill>
          <bgColor rgb="FF92D050"/>
        </patternFill>
      </fill>
      <border>
        <left style="thin">
          <color theme="0"/>
        </left>
        <right style="thin">
          <color theme="0"/>
        </right>
        <top style="thin">
          <color theme="0"/>
        </top>
        <bottom style="thin">
          <color theme="0"/>
        </bottom>
        <vertical/>
        <horizontal/>
      </border>
    </dxf>
    <dxf>
      <fill>
        <patternFill>
          <bgColor theme="0" tint="-0.24994659260841701"/>
        </patternFill>
      </fill>
      <border>
        <left style="thin">
          <color theme="0"/>
        </left>
        <right style="thin">
          <color theme="0"/>
        </right>
        <top style="thin">
          <color theme="0"/>
        </top>
        <bottom style="thin">
          <color theme="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2" tint="-0.749961851863155"/>
      </font>
      <fill>
        <gradientFill degree="90">
          <stop position="0">
            <color theme="2" tint="-0.89803765984069339"/>
          </stop>
          <stop position="1">
            <color theme="2" tint="-0.74901577806939912"/>
          </stop>
        </gradientFill>
      </fill>
      <border>
        <left style="thin">
          <color theme="8" tint="-0.499984740745262"/>
        </left>
        <right style="thin">
          <color theme="8" tint="-0.499984740745262"/>
        </right>
        <top style="thin">
          <color theme="8" tint="-0.499984740745262"/>
        </top>
        <bottom style="thin">
          <color theme="8" tint="-0.499984740745262"/>
        </bottom>
      </border>
    </dxf>
    <dxf>
      <font>
        <color theme="2" tint="-0.749961851863155"/>
      </font>
      <fill>
        <gradientFill degree="90">
          <stop position="0">
            <color theme="2" tint="-0.89803765984069339"/>
          </stop>
          <stop position="1">
            <color theme="2" tint="-0.74901577806939912"/>
          </stop>
        </gradientFill>
      </fill>
    </dxf>
    <dxf>
      <fill>
        <patternFill>
          <bgColor rgb="FF92D050"/>
        </patternFill>
      </fill>
      <border>
        <left style="thin">
          <color theme="0"/>
        </left>
        <right style="thin">
          <color theme="0"/>
        </right>
        <top style="thin">
          <color theme="0"/>
        </top>
        <bottom style="thin">
          <color theme="0"/>
        </bottom>
        <vertical/>
        <horizontal/>
      </border>
    </dxf>
    <dxf>
      <font>
        <strike val="0"/>
        <color rgb="FF92D050"/>
      </font>
      <fill>
        <patternFill>
          <bgColor rgb="FF92D050"/>
        </patternFill>
      </fill>
      <border>
        <left style="thin">
          <color theme="0"/>
        </left>
        <right style="thin">
          <color theme="0"/>
        </right>
        <top style="thin">
          <color theme="0"/>
        </top>
        <bottom style="thin">
          <color theme="0"/>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b/>
        <i/>
        <color rgb="FFFFC000"/>
      </font>
    </dxf>
    <dxf>
      <font>
        <b/>
        <i/>
        <color rgb="FFFFC000"/>
      </font>
    </dxf>
    <dxf>
      <font>
        <b/>
        <i/>
        <color rgb="FFFFC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2" tint="-0.749961851863155"/>
      </font>
      <fill>
        <gradientFill degree="270">
          <stop position="0">
            <color theme="3" tint="-0.25098422193060094"/>
          </stop>
          <stop position="1">
            <color theme="3" tint="-0.49803155613879818"/>
          </stop>
        </gradientFill>
      </fill>
      <border>
        <left style="thin">
          <color theme="8" tint="-0.499984740745262"/>
        </left>
        <right style="thin">
          <color theme="8" tint="-0.499984740745262"/>
        </right>
        <top style="thin">
          <color theme="8" tint="-0.499984740745262"/>
        </top>
        <bottom style="thin">
          <color theme="8" tint="-0.499984740745262"/>
        </bottom>
      </border>
    </dxf>
    <dxf>
      <fill>
        <patternFill patternType="lightDown"/>
      </fill>
      <border>
        <left style="thin">
          <color theme="8" tint="-0.499984740745262"/>
        </left>
        <right style="thin">
          <color theme="8" tint="-0.499984740745262"/>
        </right>
        <top style="thin">
          <color theme="8" tint="-0.499984740745262"/>
        </top>
        <bottom style="thin">
          <color theme="8" tint="-0.499984740745262"/>
        </bottom>
      </border>
    </dxf>
    <dxf>
      <font>
        <color theme="2" tint="-0.499984740745262"/>
      </font>
      <fill>
        <gradientFill degree="270">
          <stop position="0">
            <color theme="3" tint="0.40000610370189521"/>
          </stop>
          <stop position="1">
            <color theme="3" tint="-0.25098422193060094"/>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theme="8" tint="-0.499984740745262"/>
      </font>
      <fill>
        <patternFill patternType="solid">
          <fgColor rgb="FF002060"/>
          <bgColor theme="8" tint="-0.499984740745262"/>
        </patternFill>
      </fill>
      <border>
        <left style="thin">
          <color theme="8" tint="-0.499984740745262"/>
        </left>
        <right style="thin">
          <color theme="8" tint="-0.499984740745262"/>
        </right>
        <top style="thin">
          <color theme="8" tint="-0.499984740745262"/>
        </top>
        <bottom style="thin">
          <color theme="8" tint="-0.499984740745262"/>
        </bottom>
        <vertical/>
        <horizontal/>
      </border>
    </dxf>
    <dxf>
      <fill>
        <patternFill patternType="lightDown"/>
      </fill>
      <border>
        <left style="thin">
          <color theme="8" tint="-0.499984740745262"/>
        </left>
        <right style="thin">
          <color theme="8" tint="-0.499984740745262"/>
        </right>
        <top style="thin">
          <color theme="8" tint="-0.499984740745262"/>
        </top>
        <bottom style="thin">
          <color theme="8" tint="-0.499984740745262"/>
        </bottom>
      </border>
    </dxf>
    <dxf>
      <font>
        <color theme="2" tint="-0.499984740745262"/>
      </font>
      <fill>
        <gradientFill degree="270">
          <stop position="0">
            <color theme="3" tint="0.40000610370189521"/>
          </stop>
          <stop position="1">
            <color theme="3" tint="-0.25098422193060094"/>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theme="8" tint="-0.499984740745262"/>
      </font>
      <fill>
        <patternFill patternType="solid">
          <fgColor rgb="FF002060"/>
          <bgColor theme="8" tint="-0.499984740745262"/>
        </pattern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theme="2" tint="-0.749961851863155"/>
      </font>
      <fill>
        <gradientFill degree="270">
          <stop position="0">
            <color theme="6" tint="-0.25098422193060094"/>
          </stop>
          <stop position="1">
            <color theme="6" tint="-0.49803155613879818"/>
          </stop>
        </gradientFill>
      </fill>
      <border>
        <left style="thin">
          <color theme="8" tint="-0.499984740745262"/>
        </left>
        <right style="thin">
          <color theme="8" tint="-0.499984740745262"/>
        </right>
        <top style="thin">
          <color theme="8" tint="-0.499984740745262"/>
        </top>
        <bottom style="thin">
          <color theme="8" tint="-0.499984740745262"/>
        </bottom>
      </border>
    </dxf>
    <dxf>
      <fill>
        <patternFill patternType="lightDown"/>
      </fill>
      <border>
        <left style="thin">
          <color theme="8" tint="-0.499984740745262"/>
        </left>
        <right style="thin">
          <color theme="8" tint="-0.499984740745262"/>
        </right>
        <top style="thin">
          <color theme="8" tint="-0.499984740745262"/>
        </top>
        <bottom style="thin">
          <color theme="8" tint="-0.499984740745262"/>
        </bottom>
      </border>
    </dxf>
    <dxf>
      <font>
        <color rgb="FF33CC33"/>
      </font>
      <fill>
        <gradientFill degree="270">
          <stop position="0">
            <color theme="6" tint="0.40000610370189521"/>
          </stop>
          <stop position="1">
            <color theme="6" tint="-0.25098422193060094"/>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ill>
        <patternFill patternType="lightDown"/>
      </fill>
      <border>
        <left style="thin">
          <color theme="8" tint="-0.499984740745262"/>
        </left>
        <right style="thin">
          <color theme="8" tint="-0.499984740745262"/>
        </right>
        <top style="thin">
          <color theme="8" tint="-0.499984740745262"/>
        </top>
        <bottom style="thin">
          <color theme="8" tint="-0.499984740745262"/>
        </bottom>
      </border>
    </dxf>
    <dxf>
      <fill>
        <patternFill patternType="lightDown"/>
      </fill>
      <border>
        <left style="thin">
          <color theme="8" tint="-0.499984740745262"/>
        </left>
        <right style="thin">
          <color theme="8" tint="-0.499984740745262"/>
        </right>
        <top style="thin">
          <color theme="8" tint="-0.499984740745262"/>
        </top>
        <bottom style="thin">
          <color theme="8" tint="-0.499984740745262"/>
        </bottom>
      </border>
    </dxf>
    <dxf>
      <font>
        <color theme="2" tint="-0.749961851863155"/>
      </font>
      <fill>
        <gradientFill degree="270">
          <stop position="0">
            <color theme="3" tint="-0.25098422193060094"/>
          </stop>
          <stop position="1">
            <color theme="3" tint="-0.49803155613879818"/>
          </stop>
        </gradientFill>
      </fill>
      <border>
        <left style="thin">
          <color theme="8" tint="-0.499984740745262"/>
        </left>
        <right style="thin">
          <color theme="8" tint="-0.499984740745262"/>
        </right>
        <top style="thin">
          <color theme="8" tint="-0.499984740745262"/>
        </top>
        <bottom style="thin">
          <color theme="8" tint="-0.499984740745262"/>
        </bottom>
      </border>
    </dxf>
    <dxf>
      <fill>
        <patternFill patternType="lightDown"/>
      </fill>
      <border>
        <left style="thin">
          <color theme="8" tint="-0.499984740745262"/>
        </left>
        <right style="thin">
          <color theme="8" tint="-0.499984740745262"/>
        </right>
        <top style="thin">
          <color theme="8" tint="-0.499984740745262"/>
        </top>
        <bottom style="thin">
          <color theme="8" tint="-0.499984740745262"/>
        </bottom>
      </border>
    </dxf>
    <dxf>
      <font>
        <color theme="2" tint="-0.499984740745262"/>
      </font>
      <fill>
        <gradientFill degree="270">
          <stop position="0">
            <color theme="3" tint="0.40000610370189521"/>
          </stop>
          <stop position="1">
            <color theme="3" tint="-0.25098422193060094"/>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theme="8" tint="-0.499984740745262"/>
      </font>
      <fill>
        <patternFill patternType="solid">
          <fgColor rgb="FF002060"/>
          <bgColor theme="8" tint="-0.499984740745262"/>
        </pattern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theme="3" tint="0.59996337778862885"/>
      </font>
      <fill>
        <gradientFill degree="270">
          <stop position="0">
            <color theme="3" tint="0.59999389629810485"/>
          </stop>
          <stop position="1">
            <color theme="3" tint="0.40000610370189521"/>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ill>
        <patternFill patternType="lightDown"/>
      </fill>
      <border>
        <left style="thin">
          <color theme="8" tint="-0.499984740745262"/>
        </left>
        <right style="thin">
          <color theme="8" tint="-0.499984740745262"/>
        </right>
        <top style="thin">
          <color theme="8" tint="-0.499984740745262"/>
        </top>
        <bottom style="thin">
          <color theme="8" tint="-0.499984740745262"/>
        </bottom>
      </border>
    </dxf>
    <dxf>
      <font>
        <color theme="8" tint="-0.499984740745262"/>
      </font>
      <fill>
        <patternFill patternType="solid">
          <fgColor rgb="FF002060"/>
          <bgColor theme="8" tint="-0.499984740745262"/>
        </pattern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theme="3" tint="0.59996337778862885"/>
      </font>
      <fill>
        <gradientFill degree="270">
          <stop position="0">
            <color theme="3" tint="0.59999389629810485"/>
          </stop>
          <stop position="1">
            <color theme="3" tint="0.40000610370189521"/>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ill>
        <patternFill patternType="lightDown"/>
      </fill>
      <border>
        <left style="thin">
          <color theme="8" tint="-0.499984740745262"/>
        </left>
        <right style="thin">
          <color theme="8" tint="-0.499984740745262"/>
        </right>
        <top style="thin">
          <color theme="8" tint="-0.499984740745262"/>
        </top>
        <bottom style="thin">
          <color theme="8" tint="-0.499984740745262"/>
        </bottom>
      </border>
    </dxf>
    <dxf>
      <font>
        <color rgb="FF33CC33"/>
      </font>
      <fill>
        <gradientFill degree="270">
          <stop position="0">
            <color theme="6" tint="0.40000610370189521"/>
          </stop>
          <stop position="1">
            <color theme="6" tint="-0.25098422193060094"/>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ill>
        <patternFill patternType="lightDown"/>
      </fill>
      <border>
        <left style="thin">
          <color theme="8" tint="-0.499984740745262"/>
        </left>
        <right style="thin">
          <color theme="8" tint="-0.499984740745262"/>
        </right>
        <top style="thin">
          <color theme="8" tint="-0.499984740745262"/>
        </top>
        <bottom style="thin">
          <color theme="8" tint="-0.499984740745262"/>
        </bottom>
      </border>
    </dxf>
    <dxf>
      <fill>
        <patternFill patternType="lightDown"/>
      </fill>
      <border>
        <left style="thin">
          <color theme="8" tint="-0.499984740745262"/>
        </left>
        <right style="thin">
          <color theme="8" tint="-0.499984740745262"/>
        </right>
        <top style="thin">
          <color theme="8" tint="-0.499984740745262"/>
        </top>
        <bottom style="thin">
          <color theme="8" tint="-0.499984740745262"/>
        </bottom>
      </border>
    </dxf>
    <dxf>
      <font>
        <color rgb="FF33CC33"/>
      </font>
      <fill>
        <gradientFill degree="270">
          <stop position="0">
            <color rgb="FF00CC00"/>
          </stop>
          <stop position="1">
            <color rgb="FF009900"/>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ill>
        <patternFill patternType="lightDown"/>
      </fill>
      <border>
        <left style="thin">
          <color theme="8" tint="-0.499984740745262"/>
        </left>
        <right style="thin">
          <color theme="8" tint="-0.499984740745262"/>
        </right>
        <top style="thin">
          <color theme="8" tint="-0.499984740745262"/>
        </top>
        <bottom style="thin">
          <color theme="8" tint="-0.499984740745262"/>
        </bottom>
      </border>
    </dxf>
    <dxf>
      <fill>
        <patternFill patternType="lightDown"/>
      </fill>
      <border>
        <left style="thin">
          <color theme="8" tint="-0.499984740745262"/>
        </left>
        <right style="thin">
          <color theme="8" tint="-0.499984740745262"/>
        </right>
        <top style="thin">
          <color theme="8" tint="-0.499984740745262"/>
        </top>
        <bottom style="thin">
          <color theme="8" tint="-0.499984740745262"/>
        </bottom>
      </border>
    </dxf>
    <dxf>
      <fill>
        <patternFill patternType="lightDown"/>
      </fill>
      <border>
        <left style="thin">
          <color theme="8" tint="-0.499984740745262"/>
        </left>
        <right style="thin">
          <color theme="8" tint="-0.499984740745262"/>
        </right>
        <top style="thin">
          <color theme="8" tint="-0.499984740745262"/>
        </top>
        <bottom style="thin">
          <color theme="8" tint="-0.499984740745262"/>
        </bottom>
      </border>
    </dxf>
    <dxf>
      <font>
        <color theme="8" tint="-0.499984740745262"/>
      </font>
      <fill>
        <patternFill patternType="solid">
          <fgColor rgb="FF002060"/>
          <bgColor theme="8" tint="-0.499984740745262"/>
        </patternFill>
      </fill>
      <border>
        <left style="thin">
          <color theme="8" tint="-0.499984740745262"/>
        </left>
        <right style="thin">
          <color theme="8" tint="-0.499984740745262"/>
        </right>
        <top style="thin">
          <color theme="8" tint="-0.499984740745262"/>
        </top>
        <bottom style="thin">
          <color theme="8" tint="-0.499984740745262"/>
        </bottom>
        <vertical/>
        <horizontal/>
      </border>
    </dxf>
    <dxf>
      <fill>
        <patternFill patternType="lightDown"/>
      </fill>
      <border>
        <left style="thin">
          <color theme="8" tint="-0.499984740745262"/>
        </left>
        <right style="thin">
          <color theme="8" tint="-0.499984740745262"/>
        </right>
        <top style="thin">
          <color theme="8" tint="-0.499984740745262"/>
        </top>
        <bottom style="thin">
          <color theme="8" tint="-0.499984740745262"/>
        </bottom>
      </border>
    </dxf>
    <dxf>
      <font>
        <color rgb="FF33CC33"/>
      </font>
      <fill>
        <gradientFill degree="270">
          <stop position="0">
            <color theme="6" tint="0.59999389629810485"/>
          </stop>
          <stop position="1">
            <color theme="6" tint="0.40000610370189521"/>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ill>
        <patternFill patternType="lightDown"/>
      </fill>
      <border>
        <left style="thin">
          <color theme="8" tint="-0.499984740745262"/>
        </left>
        <right style="thin">
          <color theme="8" tint="-0.499984740745262"/>
        </right>
        <top style="thin">
          <color theme="8" tint="-0.499984740745262"/>
        </top>
        <bottom style="thin">
          <color theme="8" tint="-0.499984740745262"/>
        </bottom>
      </border>
    </dxf>
    <dxf>
      <font>
        <color theme="5" tint="0.39994506668294322"/>
      </font>
      <fill>
        <gradientFill degree="270">
          <stop position="0">
            <color theme="5" tint="0.59999389629810485"/>
          </stop>
          <stop position="1">
            <color theme="5" tint="0.40000610370189521"/>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ill>
        <patternFill patternType="lightDown"/>
      </fill>
      <border>
        <left style="thin">
          <color theme="8" tint="-0.499984740745262"/>
        </left>
        <right style="thin">
          <color theme="8" tint="-0.499984740745262"/>
        </right>
        <top style="thin">
          <color theme="8" tint="-0.499984740745262"/>
        </top>
        <bottom style="thin">
          <color theme="8" tint="-0.499984740745262"/>
        </bottom>
      </border>
    </dxf>
    <dxf>
      <font>
        <color rgb="FFFF9900"/>
      </font>
      <fill>
        <gradientFill degree="270">
          <stop position="0">
            <color rgb="FFFF9900"/>
          </stop>
          <stop position="1">
            <color rgb="FFCC9900"/>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rgb="FFFFCC00"/>
      </font>
      <fill>
        <gradientFill degree="270">
          <stop position="0">
            <color rgb="FFFFCC00"/>
          </stop>
          <stop position="1">
            <color rgb="FFFF9900"/>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rgb="FFFFFF00"/>
      </font>
      <fill>
        <gradientFill degree="270">
          <stop position="0">
            <color rgb="FFFFFF00"/>
          </stop>
          <stop position="1">
            <color rgb="FFFFCC00"/>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rgb="FFFF5050"/>
      </font>
      <fill>
        <gradientFill degree="270">
          <stop position="0">
            <color theme="9" tint="-0.25098422193060094"/>
          </stop>
          <stop position="1">
            <color theme="9" tint="-0.49803155613879818"/>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rgb="FFFF9966"/>
      </font>
      <fill>
        <gradientFill degree="270">
          <stop position="0">
            <color theme="9" tint="0.40000610370189521"/>
          </stop>
          <stop position="1">
            <color theme="9" tint="-0.25098422193060094"/>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rgb="FFFFCC99"/>
      </font>
      <fill>
        <gradientFill degree="270">
          <stop position="0">
            <color theme="9" tint="0.59999389629810485"/>
          </stop>
          <stop position="1">
            <color theme="9" tint="0.40000610370189521"/>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theme="3" tint="0.59996337778862885"/>
      </font>
      <fill>
        <gradientFill degree="270">
          <stop position="0">
            <color theme="3" tint="0.59999389629810485"/>
          </stop>
          <stop position="1">
            <color theme="3" tint="0.40000610370189521"/>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theme="7" tint="-0.24994659260841701"/>
      </font>
      <fill>
        <gradientFill degree="270">
          <stop position="0">
            <color theme="7" tint="-0.25098422193060094"/>
          </stop>
          <stop position="1">
            <color theme="7" tint="-0.49803155613879818"/>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theme="7" tint="0.39994506668294322"/>
      </font>
      <fill>
        <gradientFill degree="270">
          <stop position="0">
            <color theme="7" tint="0.40000610370189521"/>
          </stop>
          <stop position="1">
            <color theme="7" tint="-0.25098422193060094"/>
          </stop>
        </gradientFill>
      </fill>
      <border>
        <left style="thin">
          <color theme="8" tint="-0.499984740745262"/>
        </left>
        <right style="thin">
          <color theme="8" tint="-0.499984740745262"/>
        </right>
        <top style="thin">
          <color theme="8" tint="-0.499984740745262"/>
        </top>
        <bottom style="thin">
          <color theme="8" tint="-0.499984740745262"/>
        </bottom>
        <vertical/>
        <horizontal/>
      </border>
    </dxf>
    <dxf>
      <font>
        <color theme="7" tint="0.59996337778862885"/>
      </font>
      <fill>
        <gradientFill degree="270">
          <stop position="0">
            <color theme="7" tint="0.59999389629810485"/>
          </stop>
          <stop position="1">
            <color theme="7" tint="0.40000610370189521"/>
          </stop>
        </gradientFill>
      </fill>
      <border>
        <left style="thin">
          <color theme="8" tint="-0.499984740745262"/>
        </left>
        <right style="thin">
          <color theme="8" tint="-0.499984740745262"/>
        </right>
        <top style="thin">
          <color theme="8" tint="-0.499984740745262"/>
        </top>
        <bottom style="thin">
          <color theme="8" tint="-0.499984740745262"/>
        </bottom>
      </border>
    </dxf>
    <dxf>
      <font>
        <color theme="8" tint="-0.499984740745262"/>
      </font>
      <fill>
        <patternFill patternType="solid">
          <fgColor rgb="FF002060"/>
          <bgColor theme="8" tint="-0.499984740745262"/>
        </patternFill>
      </fill>
      <border>
        <left style="thin">
          <color theme="8" tint="-0.499984740745262"/>
        </left>
        <right style="thin">
          <color theme="8" tint="-0.499984740745262"/>
        </right>
        <top style="thin">
          <color theme="8" tint="-0.499984740745262"/>
        </top>
        <bottom style="thin">
          <color theme="8" tint="-0.499984740745262"/>
        </bottom>
        <vertical/>
        <horizontal/>
      </border>
    </dxf>
    <dxf>
      <fill>
        <patternFill>
          <bgColor rgb="FF92D050"/>
        </patternFill>
      </fill>
      <border>
        <left style="thin">
          <color theme="0"/>
        </left>
        <right style="thin">
          <color theme="0"/>
        </right>
        <top style="thin">
          <color theme="0"/>
        </top>
        <bottom style="thin">
          <color theme="0"/>
        </bottom>
        <vertical/>
        <horizontal/>
      </border>
    </dxf>
    <dxf>
      <font>
        <strike val="0"/>
        <color rgb="FF92D050"/>
      </font>
      <fill>
        <patternFill>
          <bgColor rgb="FF92D050"/>
        </patternFill>
      </fill>
      <border>
        <left style="thin">
          <color theme="0"/>
        </left>
        <right style="thin">
          <color theme="0"/>
        </right>
        <top style="thin">
          <color theme="0"/>
        </top>
        <bottom style="thin">
          <color theme="0"/>
        </bottom>
        <vertical/>
        <horizontal/>
      </border>
    </dxf>
    <dxf>
      <fill>
        <patternFill>
          <bgColor theme="0" tint="-0.24994659260841701"/>
        </patternFill>
      </fill>
      <border>
        <left style="thin">
          <color theme="0"/>
        </left>
        <right style="thin">
          <color theme="0"/>
        </right>
        <top style="thin">
          <color theme="0"/>
        </top>
        <bottom style="thin">
          <color theme="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border>
        <left style="thin">
          <color theme="0"/>
        </left>
        <right style="thin">
          <color theme="0"/>
        </right>
        <top style="thin">
          <color theme="0"/>
        </top>
        <bottom style="thin">
          <color theme="0"/>
        </bottom>
        <vertical/>
        <horizontal/>
      </border>
    </dxf>
    <dxf>
      <font>
        <strike val="0"/>
        <color rgb="FF92D050"/>
      </font>
      <fill>
        <patternFill>
          <bgColor rgb="FF92D050"/>
        </patternFill>
      </fill>
      <border>
        <left style="thin">
          <color theme="0"/>
        </left>
        <right style="thin">
          <color theme="0"/>
        </right>
        <top style="thin">
          <color theme="0"/>
        </top>
        <bottom style="thin">
          <color theme="0"/>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lor rgb="FFFFC000"/>
      </font>
    </dxf>
    <dxf>
      <font>
        <b val="0"/>
        <i/>
        <color rgb="FFFFC000"/>
      </font>
    </dxf>
    <dxf>
      <font>
        <b/>
        <i/>
        <color rgb="FFFFC000"/>
      </font>
    </dxf>
    <dxf>
      <font>
        <b/>
        <i/>
        <color rgb="FFFFC000"/>
      </font>
    </dxf>
    <dxf>
      <font>
        <b/>
        <i/>
        <color rgb="FFFFC000"/>
      </font>
    </dxf>
    <dxf>
      <font>
        <color rgb="FF9C6500"/>
      </font>
      <fill>
        <patternFill>
          <bgColor rgb="FFFFEB9C"/>
        </patternFill>
      </fill>
    </dxf>
  </dxfs>
  <tableStyles count="0" defaultTableStyle="TableStyleMedium2" defaultPivotStyle="PivotStyleLight16"/>
  <colors>
    <mruColors>
      <color rgb="FF12323A"/>
      <color rgb="FF4D4D4D"/>
      <color rgb="FF31869B"/>
      <color rgb="FF33CC33"/>
      <color rgb="FFFABF8F"/>
      <color rgb="FF009900"/>
      <color rgb="FF00CC00"/>
      <color rgb="FF153A43"/>
      <color rgb="FF00FF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10" dropStyle="combo" dx="16" fmlaLink="$C$15" fmlaRange="'Data stx'!$F$32:$F$38" sel="1" val="0"/>
</file>

<file path=xl/ctrlProps/ctrlProp10.xml><?xml version="1.0" encoding="utf-8"?>
<formControlPr xmlns="http://schemas.microsoft.com/office/spreadsheetml/2009/9/main" objectType="Drop" dropLines="11" dropStyle="combo" dx="16" fmlaLink="$C$6" fmlaRange="'Data HF'!$F$4:$F$12" sel="1" val="0"/>
</file>

<file path=xl/ctrlProps/ctrlProp11.xml><?xml version="1.0" encoding="utf-8"?>
<formControlPr xmlns="http://schemas.microsoft.com/office/spreadsheetml/2009/9/main" objectType="Drop" dropLines="15" dropStyle="combo" dx="16" fmlaLink="$K$10" fmlaRange="'Data HF'!$F$49:$F$62" sel="1" val="0"/>
</file>

<file path=xl/ctrlProps/ctrlProp12.xml><?xml version="1.0" encoding="utf-8"?>
<formControlPr xmlns="http://schemas.microsoft.com/office/spreadsheetml/2009/9/main" objectType="Drop" dropLines="18" dropStyle="combo" dx="16" fmlaLink="$K$16" fmlaRange="'Data HF'!$F$82:$F$94" sel="1" val="0"/>
</file>

<file path=xl/ctrlProps/ctrlProp13.xml><?xml version="1.0" encoding="utf-8"?>
<formControlPr xmlns="http://schemas.microsoft.com/office/spreadsheetml/2009/9/main" objectType="Drop" dropLines="15" dropStyle="combo" dx="16" fmlaLink="$C$15" fmlaRange="'Data HF'!$F$42:$F$47" sel="1" val="0"/>
</file>

<file path=xl/ctrlProps/ctrlProp2.xml><?xml version="1.0" encoding="utf-8"?>
<formControlPr xmlns="http://schemas.microsoft.com/office/spreadsheetml/2009/9/main" objectType="Drop" dropLines="22" dropStyle="combo" dx="16" fmlaLink="$C$6" fmlaRange="'Data stx'!$F$4:$F$15" sel="1" val="0"/>
</file>

<file path=xl/ctrlProps/ctrlProp3.xml><?xml version="1.0" encoding="utf-8"?>
<formControlPr xmlns="http://schemas.microsoft.com/office/spreadsheetml/2009/9/main" objectType="Drop" dropLines="26" dropStyle="combo" dx="16" fmlaLink="$K$16" fmlaRange="'Data stx'!$J$84:$J$106" sel="1" val="0"/>
</file>

<file path=xl/ctrlProps/ctrlProp4.xml><?xml version="1.0" encoding="utf-8"?>
<formControlPr xmlns="http://schemas.microsoft.com/office/spreadsheetml/2009/9/main" objectType="Drop" dropLines="38" dropStyle="combo" dx="16" fmlaLink="$K$21" fmlaRange="'Data stx'!$J$113:$J$150" sel="1" val="0"/>
</file>

<file path=xl/ctrlProps/ctrlProp5.xml><?xml version="1.0" encoding="utf-8"?>
<formControlPr xmlns="http://schemas.microsoft.com/office/spreadsheetml/2009/9/main" objectType="Drop" dropLines="29" dropStyle="combo" dx="16" fmlaLink="$K$23" fmlaRange="'Data stx'!$J$153:$J$180" sel="1" val="0"/>
</file>

<file path=xl/ctrlProps/ctrlProp6.xml><?xml version="1.0" encoding="utf-8"?>
<formControlPr xmlns="http://schemas.microsoft.com/office/spreadsheetml/2009/9/main" objectType="Drop" dropLines="5" dropStyle="combo" dx="16" fmlaLink="$D$21" fmlaRange="'Data stx'!$J$78:$J$82" sel="1" val="0"/>
</file>

<file path=xl/ctrlProps/ctrlProp7.xml><?xml version="1.0" encoding="utf-8"?>
<formControlPr xmlns="http://schemas.microsoft.com/office/spreadsheetml/2009/9/main" objectType="Drop" dropLines="9" dropStyle="combo" dx="16" fmlaLink="$E$20" fmlaRange="'Data stx'!$J$41:$J$46" sel="1" val="0"/>
</file>

<file path=xl/ctrlProps/ctrlProp8.xml><?xml version="1.0" encoding="utf-8"?>
<formControlPr xmlns="http://schemas.microsoft.com/office/spreadsheetml/2009/9/main" objectType="Drop" dropLines="11" dropStyle="combo" dx="16" fmlaLink="$E$22" fmlaRange="'Data stx'!$J$49:$J$58" sel="1" val="0"/>
</file>

<file path=xl/ctrlProps/ctrlProp9.xml><?xml version="1.0" encoding="utf-8"?>
<formControlPr xmlns="http://schemas.microsoft.com/office/spreadsheetml/2009/9/main" objectType="Drop" dropLines="14" dropStyle="combo" dx="22" fmlaLink="$E$24" fmlaRange="'Data stx'!$J$61:$J$7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404812</xdr:rowOff>
    </xdr:from>
    <xdr:to>
      <xdr:col>2</xdr:col>
      <xdr:colOff>0</xdr:colOff>
      <xdr:row>1</xdr:row>
      <xdr:rowOff>28574</xdr:rowOff>
    </xdr:to>
    <xdr:pic>
      <xdr:nvPicPr>
        <xdr:cNvPr id="4" name="Billede 3" descr="Forside">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404812"/>
          <a:ext cx="214312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28575</xdr:colOff>
          <xdr:row>16</xdr:row>
          <xdr:rowOff>0</xdr:rowOff>
        </xdr:from>
        <xdr:to>
          <xdr:col>1</xdr:col>
          <xdr:colOff>1828800</xdr:colOff>
          <xdr:row>17</xdr:row>
          <xdr:rowOff>9525</xdr:rowOff>
        </xdr:to>
        <xdr:sp macro="" textlink="">
          <xdr:nvSpPr>
            <xdr:cNvPr id="11265" name="Drop Down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28575</xdr:colOff>
          <xdr:row>7</xdr:row>
          <xdr:rowOff>38100</xdr:rowOff>
        </xdr:from>
        <xdr:to>
          <xdr:col>1</xdr:col>
          <xdr:colOff>1828800</xdr:colOff>
          <xdr:row>8</xdr:row>
          <xdr:rowOff>57150</xdr:rowOff>
        </xdr:to>
        <xdr:sp macro="" textlink="">
          <xdr:nvSpPr>
            <xdr:cNvPr id="11266" name="Drop Down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57150</xdr:colOff>
          <xdr:row>16</xdr:row>
          <xdr:rowOff>0</xdr:rowOff>
        </xdr:from>
        <xdr:to>
          <xdr:col>10</xdr:col>
          <xdr:colOff>57150</xdr:colOff>
          <xdr:row>17</xdr:row>
          <xdr:rowOff>28575</xdr:rowOff>
        </xdr:to>
        <xdr:sp macro="" textlink="">
          <xdr:nvSpPr>
            <xdr:cNvPr id="11267" name="Drop Down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38100</xdr:colOff>
          <xdr:row>21</xdr:row>
          <xdr:rowOff>0</xdr:rowOff>
        </xdr:from>
        <xdr:to>
          <xdr:col>10</xdr:col>
          <xdr:colOff>57150</xdr:colOff>
          <xdr:row>22</xdr:row>
          <xdr:rowOff>19050</xdr:rowOff>
        </xdr:to>
        <xdr:sp macro="" textlink="">
          <xdr:nvSpPr>
            <xdr:cNvPr id="11269" name="Drop Down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38100</xdr:colOff>
          <xdr:row>23</xdr:row>
          <xdr:rowOff>0</xdr:rowOff>
        </xdr:from>
        <xdr:to>
          <xdr:col>10</xdr:col>
          <xdr:colOff>66675</xdr:colOff>
          <xdr:row>24</xdr:row>
          <xdr:rowOff>19050</xdr:rowOff>
        </xdr:to>
        <xdr:sp macro="" textlink="">
          <xdr:nvSpPr>
            <xdr:cNvPr id="11270" name="Drop Down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57150</xdr:colOff>
          <xdr:row>22</xdr:row>
          <xdr:rowOff>0</xdr:rowOff>
        </xdr:from>
        <xdr:to>
          <xdr:col>1</xdr:col>
          <xdr:colOff>1838325</xdr:colOff>
          <xdr:row>23</xdr:row>
          <xdr:rowOff>0</xdr:rowOff>
        </xdr:to>
        <xdr:sp macro="" textlink="">
          <xdr:nvSpPr>
            <xdr:cNvPr id="11273" name="Drop Down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28575</xdr:colOff>
          <xdr:row>18</xdr:row>
          <xdr:rowOff>180975</xdr:rowOff>
        </xdr:from>
        <xdr:to>
          <xdr:col>5</xdr:col>
          <xdr:colOff>1790700</xdr:colOff>
          <xdr:row>20</xdr:row>
          <xdr:rowOff>0</xdr:rowOff>
        </xdr:to>
        <xdr:sp macro="" textlink="">
          <xdr:nvSpPr>
            <xdr:cNvPr id="11274" name="Drop Down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28575</xdr:colOff>
          <xdr:row>21</xdr:row>
          <xdr:rowOff>0</xdr:rowOff>
        </xdr:from>
        <xdr:to>
          <xdr:col>5</xdr:col>
          <xdr:colOff>1790700</xdr:colOff>
          <xdr:row>22</xdr:row>
          <xdr:rowOff>9525</xdr:rowOff>
        </xdr:to>
        <xdr:sp macro="" textlink="">
          <xdr:nvSpPr>
            <xdr:cNvPr id="11275" name="Drop Down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28575</xdr:colOff>
          <xdr:row>23</xdr:row>
          <xdr:rowOff>19050</xdr:rowOff>
        </xdr:from>
        <xdr:to>
          <xdr:col>5</xdr:col>
          <xdr:colOff>1790700</xdr:colOff>
          <xdr:row>24</xdr:row>
          <xdr:rowOff>28575</xdr:rowOff>
        </xdr:to>
        <xdr:sp macro="" textlink="">
          <xdr:nvSpPr>
            <xdr:cNvPr id="11279" name="Drop Down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28575</xdr:colOff>
          <xdr:row>7</xdr:row>
          <xdr:rowOff>38100</xdr:rowOff>
        </xdr:from>
        <xdr:to>
          <xdr:col>1</xdr:col>
          <xdr:colOff>1828800</xdr:colOff>
          <xdr:row>8</xdr:row>
          <xdr:rowOff>57150</xdr:rowOff>
        </xdr:to>
        <xdr:sp macro="" textlink="">
          <xdr:nvSpPr>
            <xdr:cNvPr id="25602" name="Drop Down 2" hidden="1">
              <a:extLst>
                <a:ext uri="{63B3BB69-23CF-44E3-9099-C40C66FF867C}">
                  <a14:compatExt spid="_x0000_s25602"/>
                </a:ext>
                <a:ext uri="{FF2B5EF4-FFF2-40B4-BE49-F238E27FC236}">
                  <a16:creationId xmlns:a16="http://schemas.microsoft.com/office/drawing/2014/main" id="{00000000-0008-0000-0400-000002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10</xdr:row>
          <xdr:rowOff>9525</xdr:rowOff>
        </xdr:from>
        <xdr:to>
          <xdr:col>9</xdr:col>
          <xdr:colOff>1819275</xdr:colOff>
          <xdr:row>11</xdr:row>
          <xdr:rowOff>19050</xdr:rowOff>
        </xdr:to>
        <xdr:sp macro="" textlink="">
          <xdr:nvSpPr>
            <xdr:cNvPr id="25603" name="Drop Down 3" hidden="1">
              <a:extLst>
                <a:ext uri="{63B3BB69-23CF-44E3-9099-C40C66FF867C}">
                  <a14:compatExt spid="_x0000_s25603"/>
                </a:ext>
                <a:ext uri="{FF2B5EF4-FFF2-40B4-BE49-F238E27FC236}">
                  <a16:creationId xmlns:a16="http://schemas.microsoft.com/office/drawing/2014/main" id="{00000000-0008-0000-0400-000003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38100</xdr:colOff>
          <xdr:row>16</xdr:row>
          <xdr:rowOff>9525</xdr:rowOff>
        </xdr:from>
        <xdr:to>
          <xdr:col>10</xdr:col>
          <xdr:colOff>0</xdr:colOff>
          <xdr:row>17</xdr:row>
          <xdr:rowOff>19050</xdr:rowOff>
        </xdr:to>
        <xdr:sp macro="" textlink="">
          <xdr:nvSpPr>
            <xdr:cNvPr id="25605" name="Drop Down 5" hidden="1">
              <a:extLst>
                <a:ext uri="{63B3BB69-23CF-44E3-9099-C40C66FF867C}">
                  <a14:compatExt spid="_x0000_s25605"/>
                </a:ext>
                <a:ext uri="{FF2B5EF4-FFF2-40B4-BE49-F238E27FC236}">
                  <a16:creationId xmlns:a16="http://schemas.microsoft.com/office/drawing/2014/main" id="{00000000-0008-0000-0400-000005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57150</xdr:colOff>
          <xdr:row>15</xdr:row>
          <xdr:rowOff>171450</xdr:rowOff>
        </xdr:from>
        <xdr:to>
          <xdr:col>1</xdr:col>
          <xdr:colOff>1847850</xdr:colOff>
          <xdr:row>16</xdr:row>
          <xdr:rowOff>180975</xdr:rowOff>
        </xdr:to>
        <xdr:sp macro="" textlink="">
          <xdr:nvSpPr>
            <xdr:cNvPr id="25607" name="Drop Down 7" hidden="1">
              <a:extLst>
                <a:ext uri="{63B3BB69-23CF-44E3-9099-C40C66FF867C}">
                  <a14:compatExt spid="_x0000_s25607"/>
                </a:ext>
                <a:ext uri="{FF2B5EF4-FFF2-40B4-BE49-F238E27FC236}">
                  <a16:creationId xmlns:a16="http://schemas.microsoft.com/office/drawing/2014/main" id="{00000000-0008-0000-0400-000007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drawing" Target="../drawings/drawing3.xml"/><Relationship Id="rId7" Type="http://schemas.openxmlformats.org/officeDocument/2006/relationships/ctrlProp" Target="../ctrlProps/ctrlProp12.xml"/><Relationship Id="rId2" Type="http://schemas.openxmlformats.org/officeDocument/2006/relationships/printerSettings" Target="../printerSettings/printerSettings5.bin"/><Relationship Id="rId1" Type="http://schemas.openxmlformats.org/officeDocument/2006/relationships/hyperlink" Target="http://www.ug.dk/vaerktoej/adgangskortet" TargetMode="External"/><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3">
    <tabColor rgb="FF00071E"/>
  </sheetPr>
  <dimension ref="A1:I17"/>
  <sheetViews>
    <sheetView tabSelected="1" zoomScale="80" zoomScaleNormal="80" workbookViewId="0"/>
  </sheetViews>
  <sheetFormatPr defaultColWidth="9.140625" defaultRowHeight="15" x14ac:dyDescent="0.25"/>
  <cols>
    <col min="1" max="1" width="8.5703125" style="41" customWidth="1"/>
    <col min="2" max="2" width="26.42578125" style="41" customWidth="1"/>
    <col min="3" max="3" width="17.28515625" style="41" customWidth="1"/>
    <col min="4" max="4" width="28.5703125" style="41" customWidth="1"/>
    <col min="5" max="5" width="8.5703125" style="41" customWidth="1"/>
    <col min="6" max="6" width="28.5703125" style="41" customWidth="1"/>
    <col min="7" max="7" width="8.5703125" style="41" customWidth="1"/>
    <col min="8" max="8" width="28.5703125" style="41" customWidth="1"/>
    <col min="9" max="16384" width="9.140625" style="41"/>
  </cols>
  <sheetData>
    <row r="1" spans="1:9" s="171" customFormat="1" ht="84.6" customHeight="1" x14ac:dyDescent="0.25">
      <c r="C1" s="172" t="s">
        <v>76</v>
      </c>
    </row>
    <row r="2" spans="1:9" s="171" customFormat="1" ht="41.45" customHeight="1" x14ac:dyDescent="0.25">
      <c r="C2" s="284" t="s">
        <v>77</v>
      </c>
      <c r="D2" s="172"/>
      <c r="E2" s="172"/>
      <c r="F2" s="172"/>
      <c r="G2" s="172"/>
    </row>
    <row r="3" spans="1:9" ht="17.25" customHeight="1" x14ac:dyDescent="0.25"/>
    <row r="4" spans="1:9" ht="17.25" customHeight="1" x14ac:dyDescent="0.3">
      <c r="B4" s="300"/>
      <c r="C4" s="300"/>
      <c r="D4" s="300"/>
      <c r="E4" s="301" t="s">
        <v>110</v>
      </c>
      <c r="F4" s="300"/>
      <c r="G4" s="300"/>
      <c r="H4" s="300"/>
    </row>
    <row r="5" spans="1:9" ht="17.25" customHeight="1" x14ac:dyDescent="0.3">
      <c r="B5" s="462" t="s">
        <v>201</v>
      </c>
      <c r="C5" s="462"/>
      <c r="D5" s="462"/>
      <c r="E5" s="462"/>
      <c r="F5" s="462"/>
      <c r="G5" s="462"/>
      <c r="H5" s="462"/>
    </row>
    <row r="6" spans="1:9" ht="17.25" customHeight="1" x14ac:dyDescent="0.3">
      <c r="B6" s="302"/>
      <c r="C6" s="302"/>
      <c r="D6" s="303"/>
      <c r="E6" s="301" t="s">
        <v>111</v>
      </c>
      <c r="F6" s="303"/>
      <c r="G6" s="304"/>
      <c r="H6" s="304"/>
    </row>
    <row r="7" spans="1:9" ht="36" customHeight="1" x14ac:dyDescent="0.25">
      <c r="A7" s="47"/>
      <c r="B7" s="47"/>
      <c r="C7" s="330"/>
      <c r="D7" s="173"/>
      <c r="E7" s="92"/>
      <c r="F7" s="188"/>
      <c r="G7" s="93"/>
      <c r="I7" s="47"/>
    </row>
    <row r="8" spans="1:9" ht="123" customHeight="1" x14ac:dyDescent="0.25">
      <c r="A8" s="47"/>
      <c r="B8" s="47"/>
      <c r="C8" s="330"/>
      <c r="D8" s="331" t="s">
        <v>51</v>
      </c>
      <c r="E8" s="92"/>
      <c r="F8" s="278" t="s">
        <v>85</v>
      </c>
      <c r="G8" s="93"/>
      <c r="I8" s="47"/>
    </row>
    <row r="9" spans="1:9" ht="8.25" customHeight="1" x14ac:dyDescent="0.25"/>
    <row r="10" spans="1:9" ht="19.5" customHeight="1" x14ac:dyDescent="0.3">
      <c r="B10" s="166"/>
      <c r="C10" s="168"/>
      <c r="D10" s="168"/>
      <c r="E10" s="169" t="s">
        <v>203</v>
      </c>
      <c r="F10" s="168"/>
    </row>
    <row r="11" spans="1:9" ht="30" customHeight="1" x14ac:dyDescent="0.25">
      <c r="B11" s="463"/>
      <c r="C11" s="463"/>
      <c r="D11" s="463"/>
      <c r="E11" s="463"/>
      <c r="F11" s="463"/>
      <c r="G11" s="463"/>
      <c r="H11" s="463"/>
    </row>
    <row r="12" spans="1:9" ht="30" customHeight="1" x14ac:dyDescent="0.25">
      <c r="B12" s="464"/>
      <c r="C12" s="464"/>
      <c r="D12" s="464"/>
      <c r="E12" s="464"/>
      <c r="F12" s="464"/>
      <c r="G12" s="464"/>
      <c r="H12" s="464"/>
    </row>
    <row r="14" spans="1:9" x14ac:dyDescent="0.25">
      <c r="B14" s="166"/>
    </row>
    <row r="16" spans="1:9" x14ac:dyDescent="0.25">
      <c r="B16" s="166"/>
    </row>
    <row r="17" spans="2:8" x14ac:dyDescent="0.25">
      <c r="B17" s="464"/>
      <c r="C17" s="464"/>
      <c r="D17" s="464"/>
      <c r="E17" s="464"/>
      <c r="F17" s="464"/>
      <c r="G17" s="464"/>
      <c r="H17" s="464"/>
    </row>
  </sheetData>
  <sheetProtection algorithmName="SHA-512" hashValue="C1+/RinK+04+clAf4nok8rGUXo+6eAZNllNfrKHqqrT57C/uuppl+8GwBpxc7oB+S9IctSSUhpe/9CjOLNirpA==" saltValue="wiblF+qs2ZgPsmHpGyk0pQ==" spinCount="100000" sheet="1" objects="1" scenarios="1"/>
  <mergeCells count="4">
    <mergeCell ref="B5:H5"/>
    <mergeCell ref="B11:H11"/>
    <mergeCell ref="B12:H12"/>
    <mergeCell ref="B17:H17"/>
  </mergeCells>
  <hyperlinks>
    <hyperlink ref="F8" location="'Beregn HF'!A1" display="HF" xr:uid="{00000000-0004-0000-0000-000003000000}"/>
    <hyperlink ref="D8" location="'Beregn stx'!A1" display="STX" xr:uid="{DD8C7C3E-4F51-472A-84CA-4563D2028F06}"/>
  </hyperlinks>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1">
    <tabColor theme="5" tint="-0.499984740745262"/>
  </sheetPr>
  <dimension ref="A1:T39"/>
  <sheetViews>
    <sheetView zoomScale="90" zoomScaleNormal="90" workbookViewId="0"/>
  </sheetViews>
  <sheetFormatPr defaultColWidth="9.140625" defaultRowHeight="15" x14ac:dyDescent="0.25"/>
  <cols>
    <col min="1" max="1" width="7.7109375" style="75" customWidth="1"/>
    <col min="2" max="2" width="27.85546875" style="75" customWidth="1"/>
    <col min="3" max="3" width="5.85546875" style="74" customWidth="1"/>
    <col min="4" max="4" width="9.28515625" style="75" customWidth="1"/>
    <col min="5" max="5" width="6" style="75" customWidth="1"/>
    <col min="6" max="6" width="28.140625" style="75" customWidth="1"/>
    <col min="7" max="7" width="4.5703125" style="76" customWidth="1"/>
    <col min="8" max="8" width="6.5703125" style="77" customWidth="1"/>
    <col min="9" max="9" width="7.7109375" style="75" customWidth="1"/>
    <col min="10" max="10" width="27.5703125" style="75" customWidth="1"/>
    <col min="11" max="11" width="4.5703125" style="75" customWidth="1"/>
    <col min="12" max="12" width="6.5703125" style="75" customWidth="1"/>
    <col min="13" max="13" width="7.7109375" style="75" customWidth="1"/>
    <col min="14" max="14" width="30.42578125" style="75" customWidth="1"/>
    <col min="15" max="15" width="11" style="75" customWidth="1"/>
    <col min="16" max="16" width="3.7109375" style="75" customWidth="1"/>
    <col min="17" max="17" width="2.7109375" style="75" customWidth="1"/>
    <col min="18" max="16384" width="9.140625" style="75"/>
  </cols>
  <sheetData>
    <row r="1" spans="1:20" s="69" customFormat="1" ht="36" x14ac:dyDescent="0.55000000000000004">
      <c r="A1" s="66" t="s">
        <v>34</v>
      </c>
      <c r="B1" s="67" t="s">
        <v>50</v>
      </c>
      <c r="C1" s="68"/>
      <c r="G1" s="70"/>
      <c r="H1" s="71"/>
      <c r="J1" s="72"/>
      <c r="K1" s="72" t="str">
        <f>IF(AND(Q1=1,R1=6,D23=75),"Du har seks A fag og må gange dit gennemsnit med 1,06",IF(AND(Q1=1,R1=5,D23=75),"Du har fem A fag og må gange dit gennemsnit med 1,03",""))</f>
        <v/>
      </c>
      <c r="L1" s="73"/>
      <c r="M1" s="73"/>
      <c r="N1" s="109"/>
      <c r="O1" s="277" t="str">
        <f>IF(AND(C6=12,O3&gt;2599,P1=0),"TILLYKKE, Du har en gyldig studieretning",IF(AND(O3&gt;2599,P1=0,D23=75),"TILLYKKE, Du har en gyldig studieretning",""))</f>
        <v/>
      </c>
      <c r="P1" s="338">
        <f>O2+L25+S1+I9+H23+I16</f>
        <v>1</v>
      </c>
      <c r="Q1" s="338">
        <f>IF(AND(L24=250,O3=2595),0,IF(AND(O3&gt;2599,P1=0),1,0))</f>
        <v>0</v>
      </c>
      <c r="R1" s="338">
        <f>3+E11+E17+I22+I24+E25</f>
        <v>3</v>
      </c>
      <c r="S1" s="338">
        <f>IF(C6=1,0,IF(R1&gt;3,0,1))</f>
        <v>0</v>
      </c>
      <c r="T1" s="338"/>
    </row>
    <row r="2" spans="1:20" ht="24.95" customHeight="1" x14ac:dyDescent="0.3">
      <c r="B2" s="124" t="str">
        <f>IF(AND(O3&gt;2584,P1=0,D23=75)," ","Du er færdig med at vælge når beskeden 'TILLYKKE, Du har en gyldig studieretning' vises øverst til højre")</f>
        <v>Du er færdig med at vælge når beskeden 'TILLYKKE, Du har en gyldig studieretning' vises øverst til højre</v>
      </c>
      <c r="C2" s="78"/>
      <c r="D2" s="79"/>
      <c r="F2" s="132"/>
      <c r="G2" s="142"/>
      <c r="H2" s="143"/>
      <c r="J2" s="395"/>
      <c r="K2" s="79"/>
      <c r="L2" s="79"/>
      <c r="N2" s="165" t="str">
        <f>IF(OR(AND(C6=5,L17=125),(AND(C6=5,L24=250,O3=2595))),"",IF(O3&gt;2651,"Dit samlede timetal er for højt",""))</f>
        <v/>
      </c>
      <c r="O2" s="120">
        <f>IF(N2="",0,1)</f>
        <v>0</v>
      </c>
      <c r="P2" s="80"/>
      <c r="Q2" s="80"/>
      <c r="R2" s="80"/>
      <c r="S2" s="80"/>
    </row>
    <row r="3" spans="1:20" ht="24.95" customHeight="1" x14ac:dyDescent="0.25">
      <c r="A3" s="95"/>
      <c r="B3" s="140" t="s">
        <v>55</v>
      </c>
      <c r="C3" s="139"/>
      <c r="D3" s="141">
        <v>2600</v>
      </c>
      <c r="E3" s="95"/>
      <c r="F3" s="118" t="s">
        <v>22</v>
      </c>
      <c r="G3" s="144"/>
      <c r="H3" s="340">
        <f>SUM(H4:H16)</f>
        <v>1525</v>
      </c>
      <c r="I3" s="391"/>
      <c r="J3" s="473" t="str">
        <f>IF(C6=1,"Du skal først vælge din studieretning",IF(AND(C6&gt;1,A17=1),"Du skal starte med at vælge dit sprogfag",IF(AND(C6&lt;11.5,C6&gt;1,A23=1),"Du skal nu vælge dit kreative fag",IF(AND(OR(C6=2,C6&gt;4),I9=1),"Du skal vælge naturvidenskabeligt fag. Se dine kombinationsmuligheder i tekstboksen om nat-fag",IF(AND(OR(C6=2),E24=1),"Du skal vælge naturvidenskabeligt fag",IF(AND(C6&gt;=1,OR(I13=1,I9=1,M3&gt;0)),"Du skal nu vælge dine øvrige valgfag, teksterne herunder kan hjælpe dig",""))))))</f>
        <v>Du skal først vælge din studieretning</v>
      </c>
      <c r="K3" s="474"/>
      <c r="L3" s="475"/>
      <c r="M3" s="328">
        <f>D3-O3</f>
        <v>1075</v>
      </c>
      <c r="N3" s="147" t="s">
        <v>23</v>
      </c>
      <c r="O3" s="148">
        <f>D6+D15+H3+L15+L20+D23+H18</f>
        <v>1525</v>
      </c>
      <c r="R3" s="96"/>
    </row>
    <row r="4" spans="1:20" ht="15" customHeight="1" x14ac:dyDescent="0.25">
      <c r="B4" s="79"/>
      <c r="C4" s="138"/>
      <c r="D4" s="79"/>
      <c r="E4" s="95"/>
      <c r="F4" s="83" t="s">
        <v>0</v>
      </c>
      <c r="G4" s="83" t="s">
        <v>1</v>
      </c>
      <c r="H4" s="116">
        <v>260</v>
      </c>
      <c r="I4" s="391"/>
      <c r="J4" s="476"/>
      <c r="K4" s="477"/>
      <c r="L4" s="478"/>
      <c r="M4" s="86"/>
      <c r="N4" s="90" t="str">
        <f>IF(C6=1,"","Du har valgt studieretningen:")</f>
        <v/>
      </c>
      <c r="O4" s="96"/>
    </row>
    <row r="5" spans="1:20" ht="15" customHeight="1" x14ac:dyDescent="0.25">
      <c r="A5" s="79"/>
      <c r="B5" s="132"/>
      <c r="C5" s="137"/>
      <c r="D5" s="132"/>
      <c r="E5" s="95"/>
      <c r="F5" s="83" t="s">
        <v>47</v>
      </c>
      <c r="G5" s="83" t="s">
        <v>1</v>
      </c>
      <c r="H5" s="116">
        <v>190</v>
      </c>
      <c r="I5" s="391"/>
      <c r="J5" s="394"/>
      <c r="K5" s="394"/>
      <c r="L5" s="394"/>
      <c r="M5" s="83"/>
      <c r="N5" s="89" t="str">
        <f>IF(D6&gt;1,'Data stx'!A6,"")</f>
        <v/>
      </c>
      <c r="O5" s="84"/>
    </row>
    <row r="6" spans="1:20" ht="15" customHeight="1" x14ac:dyDescent="0.25">
      <c r="A6" s="95"/>
      <c r="B6" s="127" t="s">
        <v>21</v>
      </c>
      <c r="C6" s="461">
        <v>1</v>
      </c>
      <c r="D6" s="136">
        <f>D10+D11+IF(D12=" ",0,D12)</f>
        <v>0</v>
      </c>
      <c r="E6" s="95"/>
      <c r="F6" s="83" t="s">
        <v>2</v>
      </c>
      <c r="G6" s="83" t="s">
        <v>6</v>
      </c>
      <c r="H6" s="116">
        <v>210</v>
      </c>
      <c r="I6" s="460"/>
      <c r="J6" s="482" t="str">
        <f>IF(C6=1,"",IF(O1="TILLYKKE, Du har en gyldig studieretning","",IF(AND(C6=2,C17="A"),"Du skal vælge naturvidenskabeligt fag i 1g og 3g, samt frit valgfag i 2g",IF(AND(C6=2,C17="B"),"Du skal vælge naturvidenskabeligt fag i 1g og 3g, et frit valgfag i 2g samt et A-løft i 3g",IF(AND(C6=3,C17="A"),"Du skal vælge et frit valgfag i 3g",IF(AND(C6=3,C17="B"),"Du skal vælge to frie valgfag i 3g",IF(AND(C6=4,C17="A"),"Du skal vælge ét frit valgfag i 2g og ét i 3g",IF(AND(C6=4,C17="B"),"Du skal vælge et C-fag i 2g, samt i 3g; et frit valgfag og et løft af fag til A-niveau",IF(AND(OR(C6=5,C6=6,C6=7,C6=8),C17="A"),"Du skal vælge naturvidenskabelige fag i 1g, 2g og 3g, samt frit valgfag i 2g",IF(OR(AND(OR(C6=5),C17="B")),"Du skal vælge naturvidenskabeligt fag i 1g, 2g og 3g, samt frit valgfag i 2g og 3g.",IF(OR(AND(OR(C6=6,C6=7,C6=8),C17="B"),C6=10,C6=11),"Du skal vælge naturvidenskabeligt fag i 1g, 2g og 3g, samt frit valgfag i 2g og 3g. Et af dine valg skal være et løft.",IF(AND(C6=9,C17="A"),"Du skal vælge naturvidenskabeligt fag i 1g og 2g, ét frit valgfag i 2g samt to valgfag i 3g. Du skal vælge mindst to løft.",IF(AND(C6=12,C17="A"),"Du skal vælge ét naturvidenskabeligt fag i 1g samt to naturvidenskabelige fag i 2g, og desuden ét frit valgfag i 3g",IF(AND(C6=12,C17="B"),"Du skal vælge ét naturvidenskabeligt fag i 1g samt to naturvidenskabelige fag i 2g, og desuden to frie valgfag i 3g",""))))))))))))))</f>
        <v/>
      </c>
      <c r="K6" s="483"/>
      <c r="L6" s="484"/>
      <c r="M6" s="390"/>
      <c r="N6" s="90" t="str">
        <f>IF(C6=1,"","Dine studieretningsfag er:")</f>
        <v/>
      </c>
      <c r="O6" s="91"/>
    </row>
    <row r="7" spans="1:20" ht="15" customHeight="1" x14ac:dyDescent="0.25">
      <c r="A7" s="95"/>
      <c r="D7" s="95"/>
      <c r="E7" s="95"/>
      <c r="F7" s="83" t="s">
        <v>3</v>
      </c>
      <c r="G7" s="83" t="str">
        <f>IF(C6=9,"C","B")</f>
        <v>B</v>
      </c>
      <c r="H7" s="310">
        <f>IF(C6=9,125,250)</f>
        <v>250</v>
      </c>
      <c r="I7" s="460"/>
      <c r="J7" s="485"/>
      <c r="K7" s="486"/>
      <c r="L7" s="487"/>
      <c r="M7" s="393"/>
      <c r="N7" s="89" t="str">
        <f>IF(D6&gt;1,B10&amp;" "&amp;C10,"")</f>
        <v/>
      </c>
      <c r="O7" s="84"/>
    </row>
    <row r="8" spans="1:20" x14ac:dyDescent="0.25">
      <c r="A8" s="95"/>
      <c r="D8" s="95"/>
      <c r="E8" s="95"/>
      <c r="F8" s="83" t="s">
        <v>36</v>
      </c>
      <c r="G8" s="83" t="s">
        <v>4</v>
      </c>
      <c r="H8" s="116">
        <v>75</v>
      </c>
      <c r="I8" s="460"/>
      <c r="J8" s="488"/>
      <c r="K8" s="489"/>
      <c r="L8" s="490"/>
      <c r="M8" s="393"/>
      <c r="N8" s="89" t="str">
        <f>IF(D6&gt;1,B11&amp;" "&amp;C11,"")</f>
        <v/>
      </c>
      <c r="O8" s="82"/>
    </row>
    <row r="9" spans="1:20" ht="15" customHeight="1" x14ac:dyDescent="0.25">
      <c r="A9" s="95"/>
      <c r="D9" s="95"/>
      <c r="E9" s="328"/>
      <c r="F9" s="83" t="s">
        <v>42</v>
      </c>
      <c r="G9" s="83" t="s">
        <v>4</v>
      </c>
      <c r="H9" s="116">
        <v>150</v>
      </c>
      <c r="I9" s="117">
        <f>IF(J9="",0,1)</f>
        <v>0</v>
      </c>
      <c r="J9" s="482" t="str">
        <f>IF('Data stx'!B225=0,"",IF(AND('Data stx'!B218&gt;2,'Data stx'!B225&gt;0),"Du skal enten 1) to nat-C-fag og løfte ét nat-fag 2) to nat-C-fag og latin C 3) ét nat-fag du løfter til B-niveau og fysik B 4) ét nat-C-fag, fysik B og latin C",IF(AND('Data stx'!B218=2,'Data stx'!B225&gt;0,C6=9),"Du skal enten vælge 1) to nat-C-fag 2) ét nat-fag du løfter til B-niveau 3) ét nat-C-fag og latin C",IF(AND('Data stx'!B218=2,'Data stx'!B225&gt;0,OR(C6=10,C6=11)),"Du skal enten 1)  to nat-C-fag og løfte ét nat-fag 2) to nat-C-fag og fysik B 3) ét nat-fag løftet til B og fysik B 4) ét nat-C-fag og latin C 5) fysik B og latin C",IF(AND('Data stx'!B218=1,'Data stx'!B225&gt;0),"Du skal enten vælge to naturvidenskabelige fag på C-niveau eller have et på C-niveau og løfte et af dine naturvidenskabelige fag til B- eller A-niveau","")))))</f>
        <v/>
      </c>
      <c r="K9" s="483"/>
      <c r="L9" s="484"/>
      <c r="M9" s="390"/>
      <c r="N9" s="89" t="str">
        <f>IF(OR(C6=3,C6=2,C6=5,C6=9,C6=10,C6=11),B12&amp;" "&amp;C12,"")</f>
        <v/>
      </c>
      <c r="O9" s="84"/>
    </row>
    <row r="10" spans="1:20" ht="14.45" customHeight="1" x14ac:dyDescent="0.25">
      <c r="A10" s="95"/>
      <c r="B10" s="83" t="str">
        <f>VLOOKUP('Data stx'!$A$5,'Data stx'!$E$18:$N$31,2,)</f>
        <v xml:space="preserve"> </v>
      </c>
      <c r="C10" s="83" t="str">
        <f>VLOOKUP('Data stx'!$A$5,'Data stx'!$E$18:$N$31,3,)</f>
        <v xml:space="preserve"> </v>
      </c>
      <c r="D10" s="116">
        <f>VLOOKUP('Data stx'!$A$5,'Data stx'!$E$18:$N$31,4,)</f>
        <v>0</v>
      </c>
      <c r="E10" s="328"/>
      <c r="F10" s="83" t="s">
        <v>48</v>
      </c>
      <c r="G10" s="83" t="s">
        <v>4</v>
      </c>
      <c r="H10" s="116">
        <v>75</v>
      </c>
      <c r="I10" s="117"/>
      <c r="J10" s="485"/>
      <c r="K10" s="486"/>
      <c r="L10" s="487"/>
      <c r="M10" s="393"/>
      <c r="O10" s="91"/>
    </row>
    <row r="11" spans="1:20" x14ac:dyDescent="0.25">
      <c r="A11" s="95"/>
      <c r="B11" s="83" t="str">
        <f>VLOOKUP('Data stx'!$A$5,'Data stx'!$E$18:$N$31,5,)</f>
        <v xml:space="preserve"> </v>
      </c>
      <c r="C11" s="83" t="str">
        <f>VLOOKUP('Data stx'!$A$5,'Data stx'!$E$18:$N$31,6,)</f>
        <v xml:space="preserve"> </v>
      </c>
      <c r="D11" s="116">
        <f>VLOOKUP('Data stx'!$A$5,'Data stx'!$E$18:$N$31,7,)</f>
        <v>0</v>
      </c>
      <c r="E11" s="328">
        <f>IF(C11="A",1,0)</f>
        <v>0</v>
      </c>
      <c r="F11" s="83" t="s">
        <v>49</v>
      </c>
      <c r="G11" s="83" t="s">
        <v>4</v>
      </c>
      <c r="H11" s="116">
        <v>75</v>
      </c>
      <c r="I11" s="117"/>
      <c r="J11" s="485"/>
      <c r="K11" s="486"/>
      <c r="L11" s="487"/>
      <c r="M11" s="393"/>
      <c r="N11" s="90" t="str">
        <f>IF(D17=0,"","Dit 2. fremmedsprog er:")</f>
        <v/>
      </c>
      <c r="O11" s="91"/>
    </row>
    <row r="12" spans="1:20" ht="15" customHeight="1" x14ac:dyDescent="0.25">
      <c r="A12" s="95"/>
      <c r="B12" s="83" t="str">
        <f>IF(OR(C6=3,C6=2,C6=5,C6=9,C6=10,C6=11),VLOOKUP('Data stx'!$A$5,'Data stx'!$E$18:$N$31,8,)," ")</f>
        <v xml:space="preserve"> </v>
      </c>
      <c r="C12" s="83" t="str">
        <f>IF(OR(C6=3,C6=2,C6=5,C6=9,C6=10,C6=11),VLOOKUP('Data stx'!$A$5,'Data stx'!$E$18:$N$31,9,)," ")</f>
        <v xml:space="preserve"> </v>
      </c>
      <c r="D12" s="116" t="str">
        <f>IF(OR(C6=3,C6=2,C6=5,C6=9,C6=10,C6=11),VLOOKUP('Data stx'!$A$5,'Data stx'!$E$18:$N$31,10,)," ")</f>
        <v xml:space="preserve"> </v>
      </c>
      <c r="E12" s="328"/>
      <c r="F12" s="83" t="s">
        <v>5</v>
      </c>
      <c r="G12" s="83" t="s">
        <v>4</v>
      </c>
      <c r="H12" s="348">
        <v>75</v>
      </c>
      <c r="I12" s="119"/>
      <c r="J12" s="488"/>
      <c r="K12" s="489"/>
      <c r="L12" s="490"/>
      <c r="M12" s="393"/>
      <c r="N12" s="89" t="str">
        <f>IF(D15&gt;1,'Data stx'!A34&amp;" "&amp;'Data stx'!B34,"")</f>
        <v/>
      </c>
      <c r="O12" s="91"/>
    </row>
    <row r="13" spans="1:20" ht="15" customHeight="1" x14ac:dyDescent="0.25">
      <c r="A13" s="95"/>
      <c r="B13" s="131"/>
      <c r="C13" s="131"/>
      <c r="D13" s="134"/>
      <c r="E13" s="328"/>
      <c r="H13" s="349"/>
      <c r="I13" s="117"/>
      <c r="J13" s="479" t="str">
        <f>IF(S1=0,"",IF(S1=1,"Du mangler at vælge et løft til A-niveau"))</f>
        <v/>
      </c>
      <c r="K13" s="480"/>
      <c r="L13" s="481"/>
      <c r="M13" s="396"/>
      <c r="N13" s="90" t="str">
        <f>IF(C6=12,"Dit kreative fag er:",IF(D23=0,"","Dit kreative fag er:"))</f>
        <v/>
      </c>
      <c r="O13" s="91"/>
    </row>
    <row r="14" spans="1:20" ht="15" customHeight="1" x14ac:dyDescent="0.25">
      <c r="B14" s="471" t="str">
        <f>IF(AND(C6=9,D17=0),"Du skal angive Spansk som dit 2. fremmedsprog",IF(AND(C6=10,D17=0),"Du skal angive Tysk som dit 2. fremmedsprog",IF(AND(C6=11,D17=0),"Du skal angive Fransk som dit 2. fremmedsprog","")))</f>
        <v/>
      </c>
      <c r="C14" s="471"/>
      <c r="D14" s="471"/>
      <c r="E14" s="328"/>
      <c r="F14" s="491" t="s">
        <v>63</v>
      </c>
      <c r="G14" s="492"/>
      <c r="H14" s="348">
        <v>15</v>
      </c>
      <c r="I14" s="119"/>
      <c r="J14" s="493" t="str">
        <f>IF(AND(C6=5,O3&gt;2600,P1&gt;0),"Du skal vælge ét C-fag",IF(AND(O3&gt;2701,O3&lt;2755),"Du skal vælge ét C-fag i stedet for ét løft",""))</f>
        <v/>
      </c>
      <c r="K14" s="494"/>
      <c r="L14" s="495"/>
      <c r="N14" s="89" t="str">
        <f>IF(C6=12,"Musik",IF(D23&gt;1,'Data stx'!A80&amp;" "&amp;'Data stx'!B80,""))</f>
        <v/>
      </c>
      <c r="O14" s="91"/>
    </row>
    <row r="15" spans="1:20" x14ac:dyDescent="0.25">
      <c r="A15" s="95"/>
      <c r="B15" s="127" t="s">
        <v>14</v>
      </c>
      <c r="C15" s="135">
        <v>1</v>
      </c>
      <c r="D15" s="136">
        <f>D17</f>
        <v>0</v>
      </c>
      <c r="E15" s="328"/>
      <c r="F15" s="83" t="s">
        <v>66</v>
      </c>
      <c r="H15" s="116">
        <f>IF(AND(OR(C6=2,C6=6,C6=7),OR(L17=125,L22=125),OR(H22=125,H24=125)),80,IF(AND(C6=3,C17="A",L22=125),80,IF(OR(AND(C6=5,H18=325),AND(C6=5,H18=275,L15=75,OR(L15=75,L15=125,L22=125))),80,IF(AND(C6=9,H18=200,L17=125,L20=250),80,IF(AND(OR(C6=10,C6=11),OR(AND(H18=325,L15=75,L20=125),AND(H18=325,L15=125,L20=75),AND(H18=275,L15=125,L20=125))),80,IF(AND(C6=12,C17="A",H18=275,L20=125),80,IF(AND(C6=12,C17="B",H18=325,L20=200),80,130)))))))</f>
        <v>130</v>
      </c>
      <c r="I15" s="119"/>
      <c r="J15" s="397" t="str">
        <f>IF(OR(C6=4,C6=5),"Frit C-valgfag i 2g","Frit valgfag i 2.g, C-fag eller B-løft")</f>
        <v>Frit valgfag i 2.g, C-fag eller B-løft</v>
      </c>
      <c r="K15" s="398"/>
      <c r="L15" s="399">
        <f>L17</f>
        <v>0</v>
      </c>
      <c r="O15" s="91"/>
    </row>
    <row r="16" spans="1:20" x14ac:dyDescent="0.25">
      <c r="A16" s="95"/>
      <c r="B16" s="88"/>
      <c r="C16" s="84"/>
      <c r="D16" s="133"/>
      <c r="E16" s="328"/>
      <c r="F16" s="94" t="s">
        <v>7</v>
      </c>
      <c r="G16" s="94"/>
      <c r="H16" s="145">
        <v>20</v>
      </c>
      <c r="I16" s="119">
        <f>IF(AND(OR(C6=2,C6=4,C6=6,C6=7,C6=8,C6=9,C6=10,C6=11),K16=1),1,0)</f>
        <v>0</v>
      </c>
      <c r="J16" s="400"/>
      <c r="K16" s="410">
        <v>1</v>
      </c>
      <c r="L16" s="401"/>
      <c r="N16" s="90" t="str">
        <f>IF(H18=0,"","Dine naturvidenskabelige fag og niveauer er:")</f>
        <v/>
      </c>
      <c r="O16" s="91"/>
    </row>
    <row r="17" spans="1:15" ht="15" customHeight="1" x14ac:dyDescent="0.25">
      <c r="A17" s="328">
        <f>IF(D17=0,1,0)</f>
        <v>1</v>
      </c>
      <c r="B17" s="81"/>
      <c r="C17" s="83" t="str">
        <f>VLOOKUP('Data stx'!A34,'Data stx'!F32:H38,2,)</f>
        <v/>
      </c>
      <c r="D17" s="116">
        <f>VLOOKUP('Data stx'!A34,'Data stx'!F32:H38,3,)</f>
        <v>0</v>
      </c>
      <c r="E17" s="350">
        <f>IF(OR(C6=9,C6=11),0,IF(OR(C17="",C17="B"),0,1))</f>
        <v>0</v>
      </c>
      <c r="F17" s="362" t="str">
        <f>IF(AND(C6=2,H18&lt;150),"Du skal vælge naturvidenskabeligt fag til 1.g og 3.g",IF(AND(OR(C6=3,C6=4),H18&lt;150),"Du skal ikke vælge naturvidenskabelige fag",IF(AND(C6=9,H18&lt;150),"Du skal vælge naturvidenskabeligt fag i 1.g og 2.g",IF(AND(OR(C6=5,C6=6,C6=7,C6=8,C6=10,C6=11,C6=12),H18&lt;225),"Du skal vælge naturvidenskabelige fag",""))))</f>
        <v/>
      </c>
      <c r="G17" s="361"/>
      <c r="H17" s="361"/>
      <c r="I17" s="392"/>
      <c r="J17" s="402"/>
      <c r="K17" s="83" t="str">
        <f>VLOOKUP('Data stx'!A86,'Data stx'!F84:H106,2,)</f>
        <v/>
      </c>
      <c r="L17" s="403">
        <f>VLOOKUP('Data stx'!A86,'Data stx'!F84:H106,3,)</f>
        <v>0</v>
      </c>
      <c r="M17" s="83"/>
      <c r="N17" s="89" t="str">
        <f>IF(H20&gt;1,'Data stx'!A43&amp;" "&amp;'Data stx'!B43,"")</f>
        <v/>
      </c>
      <c r="O17" s="91"/>
    </row>
    <row r="18" spans="1:15" ht="15" customHeight="1" x14ac:dyDescent="0.25">
      <c r="A18" s="95"/>
      <c r="B18" s="85" t="str">
        <f>IF($D$17=325,"Begyndersprog",IF($D$17=200,"Fortsættersprog"," "))</f>
        <v xml:space="preserve"> </v>
      </c>
      <c r="C18" s="83"/>
      <c r="D18" s="116"/>
      <c r="E18" s="117"/>
      <c r="F18" s="339" t="s">
        <v>168</v>
      </c>
      <c r="G18" s="135">
        <v>6</v>
      </c>
      <c r="H18" s="136">
        <f>H20+H22+H24</f>
        <v>0</v>
      </c>
      <c r="I18" s="382"/>
      <c r="J18" s="404"/>
      <c r="K18" s="405"/>
      <c r="L18" s="406"/>
      <c r="M18" s="82"/>
      <c r="N18" s="89" t="str">
        <f>IF(H22&gt;1,'Data stx'!A51&amp;" "&amp;'Data stx'!B51,"")</f>
        <v/>
      </c>
      <c r="O18" s="91"/>
    </row>
    <row r="19" spans="1:15" x14ac:dyDescent="0.25">
      <c r="A19" s="95"/>
      <c r="B19" s="346"/>
      <c r="C19" s="131"/>
      <c r="D19" s="347"/>
      <c r="E19" s="328"/>
      <c r="F19" s="83" t="s">
        <v>170</v>
      </c>
      <c r="G19" s="83"/>
      <c r="H19" s="150"/>
      <c r="I19" s="382"/>
      <c r="L19" s="388"/>
      <c r="M19" s="83" t="s">
        <v>20</v>
      </c>
      <c r="N19" s="89" t="str">
        <f>IF(H24&gt;1,'Data stx'!A63&amp;" "&amp;'Data stx'!B63,"")</f>
        <v/>
      </c>
      <c r="O19" s="84"/>
    </row>
    <row r="20" spans="1:15" ht="15" customHeight="1" x14ac:dyDescent="0.25">
      <c r="A20" s="79"/>
      <c r="B20" s="472" t="str">
        <f>IF(AND(C6=12,D23=0),"Du har musik som kreativt fag","")</f>
        <v/>
      </c>
      <c r="C20" s="472"/>
      <c r="D20" s="472"/>
      <c r="E20" s="408">
        <v>1</v>
      </c>
      <c r="F20" s="83"/>
      <c r="G20" s="83" t="str">
        <f>VLOOKUP('Data stx'!$A$43,'Data stx'!$F$41:$H$46,2,)</f>
        <v/>
      </c>
      <c r="H20" s="116">
        <f>VLOOKUP('Data stx'!$A$43,'Data stx'!$F$41:$H$46,3,)</f>
        <v>0</v>
      </c>
      <c r="I20" s="381"/>
      <c r="J20" s="127" t="s">
        <v>171</v>
      </c>
      <c r="K20" s="130"/>
      <c r="L20" s="389">
        <f>L22+L24</f>
        <v>0</v>
      </c>
      <c r="M20" s="84"/>
      <c r="N20" s="90" t="str">
        <f>IF(AND(L17=0,L22=0,L24=0),"","Dine øvrige valgfag og løft:")</f>
        <v/>
      </c>
      <c r="O20" s="84"/>
    </row>
    <row r="21" spans="1:15" x14ac:dyDescent="0.25">
      <c r="A21" s="95"/>
      <c r="B21" s="305" t="s">
        <v>118</v>
      </c>
      <c r="C21" s="306"/>
      <c r="D21" s="307">
        <v>1</v>
      </c>
      <c r="E21" s="329">
        <f>IF(H20=0,1,0)</f>
        <v>1</v>
      </c>
      <c r="F21" s="83" t="str">
        <f>IF(C6=2, "Du skal ikke vælge nat. valgfag i 2g","Naturvidenskabeligt valgfag i 2.g")</f>
        <v>Naturvidenskabeligt valgfag i 2.g</v>
      </c>
      <c r="H21" s="116"/>
      <c r="I21" s="329"/>
      <c r="J21" s="83" t="s">
        <v>175</v>
      </c>
      <c r="K21" s="409">
        <v>1</v>
      </c>
      <c r="L21" s="308"/>
      <c r="N21" s="89" t="str">
        <f>IF(N$20="","",IF(L17=0,"",'Data stx'!A86&amp;" "&amp;'Data stx'!B86))</f>
        <v/>
      </c>
      <c r="O21" s="82"/>
    </row>
    <row r="22" spans="1:15" ht="15" customHeight="1" x14ac:dyDescent="0.25">
      <c r="A22" s="308"/>
      <c r="B22" s="88"/>
      <c r="C22" s="84"/>
      <c r="D22" s="133"/>
      <c r="E22" s="328">
        <v>1</v>
      </c>
      <c r="F22" s="83"/>
      <c r="G22" s="83" t="str">
        <f>VLOOKUP('Data stx'!$A$51,'Data stx'!$F$49:$H$58,2,)</f>
        <v/>
      </c>
      <c r="H22" s="116">
        <f>VLOOKUP('Data stx'!$A$51,'Data stx'!$F$49:$H$58,3,)</f>
        <v>0</v>
      </c>
      <c r="I22" s="329">
        <f>IF(OR(K22="",K22="C",K22="B"),0,1)</f>
        <v>0</v>
      </c>
      <c r="J22" s="161"/>
      <c r="K22" s="83" t="str">
        <f>VLOOKUP('Data stx'!A116,'Data stx'!F113:H150,2,)</f>
        <v/>
      </c>
      <c r="L22" s="116">
        <f>VLOOKUP('Data stx'!A116,'Data stx'!F113:H150,3,)</f>
        <v>0</v>
      </c>
      <c r="M22" s="164"/>
      <c r="N22" s="89" t="str">
        <f>IF(N$20="","",IF(L22=0,"",'Data stx'!A116&amp;" "&amp;'Data stx'!B116))</f>
        <v/>
      </c>
      <c r="O22" s="84"/>
    </row>
    <row r="23" spans="1:15" x14ac:dyDescent="0.25">
      <c r="A23" s="328">
        <f>IF(D23=0,1,0)</f>
        <v>1</v>
      </c>
      <c r="B23" s="81"/>
      <c r="C23" s="83" t="str">
        <f>VLOOKUP('Data stx'!A80,'Data stx'!F78:H82,2,)</f>
        <v/>
      </c>
      <c r="D23" s="116">
        <f>VLOOKUP('Data stx'!A80,'Data stx'!F78:H82,3,)</f>
        <v>0</v>
      </c>
      <c r="E23" s="328">
        <f>IF(H22=0,1,0)</f>
        <v>1</v>
      </c>
      <c r="F23" s="83" t="str">
        <f>IF(C6=9,"",IF(C6=12,"Naturvidenskabeligt valgfag i 2.g","Naturvidenskabeligt valgfag i 3.g"))</f>
        <v>Naturvidenskabeligt valgfag i 3.g</v>
      </c>
      <c r="H23" s="412">
        <f>IF(OR(C6=3,C6=4),0,IF(AND('Data stx'!B251&gt;1,'Data stx'!B253=0,OR(H18=75,H18=225,H18=275,H18=325)),0,IF(OR(H18=200,H18=150),0,1)))</f>
        <v>1</v>
      </c>
      <c r="I23" s="328"/>
      <c r="J23" s="83" t="s">
        <v>176</v>
      </c>
      <c r="K23" s="409">
        <v>1</v>
      </c>
      <c r="L23" s="149"/>
      <c r="M23" s="87"/>
      <c r="N23" s="89" t="str">
        <f>IF(N$20="","",IF(L24=0,"",'Data stx'!A155&amp;" "&amp;'Data stx'!B155))</f>
        <v/>
      </c>
      <c r="O23" s="79"/>
    </row>
    <row r="24" spans="1:15" ht="15" customHeight="1" x14ac:dyDescent="0.25">
      <c r="A24" s="308"/>
      <c r="B24" s="351"/>
      <c r="C24" s="84"/>
      <c r="D24" s="133"/>
      <c r="E24" s="328">
        <v>1</v>
      </c>
      <c r="G24" s="83" t="str">
        <f>VLOOKUP('Data stx'!$A$63,'Data stx'!$F$61:$H$74,2,)</f>
        <v/>
      </c>
      <c r="H24" s="116">
        <f>VLOOKUP('Data stx'!$A$63,'Data stx'!$F$61:$H$74,3,)</f>
        <v>0</v>
      </c>
      <c r="I24" s="328">
        <f>IF(OR(K24="",K24="B",K24="C"),0,1)</f>
        <v>0</v>
      </c>
      <c r="J24" s="83"/>
      <c r="K24" s="83" t="str">
        <f>VLOOKUP('Data stx'!A155,'Data stx'!F153:H181,2,)</f>
        <v/>
      </c>
      <c r="L24" s="116">
        <f>VLOOKUP('Data stx'!A155,'Data stx'!F153:H181,3,)</f>
        <v>0</v>
      </c>
      <c r="M24" s="79"/>
    </row>
    <row r="25" spans="1:15" ht="15" customHeight="1" x14ac:dyDescent="0.25">
      <c r="A25" s="308"/>
      <c r="B25" s="352"/>
      <c r="C25" s="78"/>
      <c r="D25" s="353"/>
      <c r="E25" s="328">
        <f>IF(OR(G24="",G24="B",G24="C"),0,1)</f>
        <v>0</v>
      </c>
      <c r="F25" s="352"/>
      <c r="G25" s="354"/>
      <c r="H25" s="355"/>
      <c r="I25" s="356"/>
      <c r="J25" s="146" t="str">
        <f>IF(AND(L22=0,L24&gt;0),"Du skal vælge løft 1 først","")</f>
        <v/>
      </c>
      <c r="K25" s="131"/>
      <c r="L25" s="411">
        <f>IF(J25="",0,1)</f>
        <v>0</v>
      </c>
      <c r="M25" s="79"/>
      <c r="N25" s="468" t="s">
        <v>33</v>
      </c>
      <c r="O25" s="469"/>
    </row>
    <row r="26" spans="1:15" ht="15" customHeight="1" x14ac:dyDescent="0.25">
      <c r="A26" s="79"/>
      <c r="B26" s="132"/>
      <c r="C26" s="137"/>
      <c r="D26" s="132"/>
      <c r="E26" s="132"/>
      <c r="F26" s="151"/>
      <c r="G26" s="151"/>
      <c r="H26" s="151"/>
      <c r="I26" s="152"/>
      <c r="J26" s="470"/>
      <c r="K26" s="470"/>
      <c r="L26" s="470"/>
      <c r="M26" s="132"/>
      <c r="N26" s="132"/>
    </row>
    <row r="27" spans="1:15" ht="24.75" customHeight="1" x14ac:dyDescent="0.25">
      <c r="A27" s="95"/>
      <c r="B27" s="159" t="s">
        <v>65</v>
      </c>
      <c r="C27" s="123" t="str">
        <f>IF(C6=1,"",VLOOKUP('Data stx'!$A$5,'Data stx'!$E$5:$N$15,2,))</f>
        <v/>
      </c>
      <c r="D27" s="154"/>
      <c r="E27" s="154"/>
      <c r="F27" s="154"/>
      <c r="G27" s="155"/>
      <c r="H27" s="156" t="s">
        <v>64</v>
      </c>
      <c r="I27" s="154"/>
      <c r="J27" s="309" t="str">
        <f>IF(OR(C6=4,C6=6,C6=7,C6=8,C6=12),N7&amp;" og "&amp;N8,IF(OR(C6=2,C6=3,C6=5,C6=9,C6=10,C6=11),N7&amp;", "&amp;N8&amp;" og "&amp;N9,""))</f>
        <v/>
      </c>
      <c r="K27" s="309"/>
      <c r="L27" s="309"/>
      <c r="M27" s="157"/>
      <c r="N27" s="158" t="s">
        <v>91</v>
      </c>
      <c r="O27" s="153"/>
    </row>
    <row r="28" spans="1:15" ht="21.6" customHeight="1" x14ac:dyDescent="0.25">
      <c r="B28" s="465" t="str">
        <f>IF(C6=1,"",VLOOKUP('Data stx'!$A$5,'Data stx'!$E$258:$F$270,2,))</f>
        <v/>
      </c>
      <c r="C28" s="466"/>
      <c r="D28" s="466"/>
      <c r="E28" s="466"/>
      <c r="F28" s="466"/>
      <c r="G28" s="466"/>
      <c r="H28" s="466"/>
      <c r="I28" s="466"/>
      <c r="J28" s="466"/>
      <c r="K28" s="466"/>
      <c r="L28" s="466"/>
      <c r="M28" s="466"/>
      <c r="N28" s="466"/>
      <c r="O28" s="467"/>
    </row>
    <row r="29" spans="1:15" ht="56.45" customHeight="1" x14ac:dyDescent="0.25">
      <c r="B29" s="465" t="str">
        <f>IF(C6=1,"",VLOOKUP('Data stx'!$A$5,'Data stx'!$E$272:$F$283,2,))</f>
        <v/>
      </c>
      <c r="C29" s="466"/>
      <c r="D29" s="466"/>
      <c r="E29" s="466"/>
      <c r="F29" s="466"/>
      <c r="G29" s="466"/>
      <c r="H29" s="466"/>
      <c r="I29" s="466"/>
      <c r="J29" s="466"/>
      <c r="K29" s="466"/>
      <c r="L29" s="466"/>
      <c r="M29" s="466"/>
      <c r="N29" s="466"/>
      <c r="O29" s="467"/>
    </row>
    <row r="30" spans="1:15" ht="64.5" customHeight="1" x14ac:dyDescent="0.25">
      <c r="B30" s="465" t="str">
        <f>IF(C6=1,"",VLOOKUP('Data stx'!$A$5,'Data stx'!$E$285:$F$296,2,))</f>
        <v/>
      </c>
      <c r="C30" s="466"/>
      <c r="D30" s="466"/>
      <c r="E30" s="466"/>
      <c r="F30" s="466"/>
      <c r="G30" s="466"/>
      <c r="H30" s="466"/>
      <c r="I30" s="466"/>
      <c r="J30" s="466"/>
      <c r="K30" s="466"/>
      <c r="L30" s="466"/>
      <c r="M30" s="466"/>
      <c r="N30" s="466"/>
      <c r="O30" s="467"/>
    </row>
    <row r="31" spans="1:15" x14ac:dyDescent="0.25">
      <c r="J31" s="79"/>
    </row>
    <row r="32" spans="1:15" x14ac:dyDescent="0.25">
      <c r="J32" s="79"/>
    </row>
    <row r="33" spans="10:10" x14ac:dyDescent="0.25">
      <c r="J33" s="79"/>
    </row>
    <row r="34" spans="10:10" x14ac:dyDescent="0.25">
      <c r="J34" s="79"/>
    </row>
    <row r="35" spans="10:10" x14ac:dyDescent="0.25">
      <c r="J35" s="128"/>
    </row>
    <row r="36" spans="10:10" x14ac:dyDescent="0.25">
      <c r="J36" s="129"/>
    </row>
    <row r="37" spans="10:10" x14ac:dyDescent="0.25">
      <c r="J37" s="128"/>
    </row>
    <row r="38" spans="10:10" x14ac:dyDescent="0.25">
      <c r="J38" s="128"/>
    </row>
    <row r="39" spans="10:10" x14ac:dyDescent="0.25">
      <c r="J39" s="128"/>
    </row>
  </sheetData>
  <mergeCells count="13">
    <mergeCell ref="B14:D14"/>
    <mergeCell ref="B20:D20"/>
    <mergeCell ref="J3:L4"/>
    <mergeCell ref="J13:L13"/>
    <mergeCell ref="J9:L12"/>
    <mergeCell ref="F14:G14"/>
    <mergeCell ref="J14:L14"/>
    <mergeCell ref="J6:L8"/>
    <mergeCell ref="B29:O29"/>
    <mergeCell ref="B30:O30"/>
    <mergeCell ref="B28:O28"/>
    <mergeCell ref="N25:O25"/>
    <mergeCell ref="J26:L26"/>
  </mergeCells>
  <conditionalFormatting sqref="J36 J31:J34">
    <cfRule type="duplicateValues" dxfId="104" priority="6"/>
  </conditionalFormatting>
  <conditionalFormatting sqref="G7:H7">
    <cfRule type="containsText" dxfId="103" priority="5" operator="containsText" text="C">
      <formula>NOT(ISERROR(SEARCH("C",G7)))</formula>
    </cfRule>
  </conditionalFormatting>
  <conditionalFormatting sqref="H8">
    <cfRule type="cellIs" dxfId="102" priority="4" operator="equal">
      <formula>125</formula>
    </cfRule>
  </conditionalFormatting>
  <conditionalFormatting sqref="F7:H7">
    <cfRule type="expression" dxfId="101" priority="3">
      <formula>$G$7="C"</formula>
    </cfRule>
  </conditionalFormatting>
  <conditionalFormatting sqref="H15">
    <cfRule type="cellIs" dxfId="100" priority="2" operator="equal">
      <formula>80</formula>
    </cfRule>
  </conditionalFormatting>
  <conditionalFormatting sqref="F15">
    <cfRule type="expression" dxfId="99" priority="1">
      <formula>$H$15=80</formula>
    </cfRule>
  </conditionalFormatting>
  <hyperlinks>
    <hyperlink ref="N25" location="Grafik!A1" display="Grafik!A1" xr:uid="{00000000-0004-0000-0100-000000000000}"/>
    <hyperlink ref="N25:O25" location="'Grafik stx'!A1" display="&gt;&gt; Se din studieretning i grafik &lt;&lt;" xr:uid="{00000000-0004-0000-0100-000001000000}"/>
    <hyperlink ref="A1" location="Index!A1" display="Home" xr:uid="{00000000-0004-0000-0100-000002000000}"/>
  </hyperlinks>
  <pageMargins left="0.7" right="0.7" top="0.75" bottom="0.75" header="0.3" footer="0.3"/>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from>
                    <xdr:col>1</xdr:col>
                    <xdr:colOff>28575</xdr:colOff>
                    <xdr:row>16</xdr:row>
                    <xdr:rowOff>0</xdr:rowOff>
                  </from>
                  <to>
                    <xdr:col>1</xdr:col>
                    <xdr:colOff>1828800</xdr:colOff>
                    <xdr:row>17</xdr:row>
                    <xdr:rowOff>9525</xdr:rowOff>
                  </to>
                </anchor>
              </controlPr>
            </control>
          </mc:Choice>
        </mc:AlternateContent>
        <mc:AlternateContent xmlns:mc="http://schemas.openxmlformats.org/markup-compatibility/2006">
          <mc:Choice Requires="x14">
            <control shapeId="11266" r:id="rId5" name="Drop Down 2">
              <controlPr defaultSize="0" autoLine="0" autoPict="0">
                <anchor>
                  <from>
                    <xdr:col>1</xdr:col>
                    <xdr:colOff>28575</xdr:colOff>
                    <xdr:row>7</xdr:row>
                    <xdr:rowOff>38100</xdr:rowOff>
                  </from>
                  <to>
                    <xdr:col>1</xdr:col>
                    <xdr:colOff>1828800</xdr:colOff>
                    <xdr:row>8</xdr:row>
                    <xdr:rowOff>57150</xdr:rowOff>
                  </to>
                </anchor>
              </controlPr>
            </control>
          </mc:Choice>
        </mc:AlternateContent>
        <mc:AlternateContent xmlns:mc="http://schemas.openxmlformats.org/markup-compatibility/2006">
          <mc:Choice Requires="x14">
            <control shapeId="11267" r:id="rId6" name="Drop Down 3">
              <controlPr defaultSize="0" autoLine="0" autoPict="0">
                <anchor>
                  <from>
                    <xdr:col>9</xdr:col>
                    <xdr:colOff>57150</xdr:colOff>
                    <xdr:row>16</xdr:row>
                    <xdr:rowOff>0</xdr:rowOff>
                  </from>
                  <to>
                    <xdr:col>10</xdr:col>
                    <xdr:colOff>57150</xdr:colOff>
                    <xdr:row>17</xdr:row>
                    <xdr:rowOff>28575</xdr:rowOff>
                  </to>
                </anchor>
              </controlPr>
            </control>
          </mc:Choice>
        </mc:AlternateContent>
        <mc:AlternateContent xmlns:mc="http://schemas.openxmlformats.org/markup-compatibility/2006">
          <mc:Choice Requires="x14">
            <control shapeId="11269" r:id="rId7" name="Drop Down 5">
              <controlPr defaultSize="0" autoLine="0" autoPict="0">
                <anchor>
                  <from>
                    <xdr:col>9</xdr:col>
                    <xdr:colOff>38100</xdr:colOff>
                    <xdr:row>21</xdr:row>
                    <xdr:rowOff>0</xdr:rowOff>
                  </from>
                  <to>
                    <xdr:col>10</xdr:col>
                    <xdr:colOff>57150</xdr:colOff>
                    <xdr:row>22</xdr:row>
                    <xdr:rowOff>19050</xdr:rowOff>
                  </to>
                </anchor>
              </controlPr>
            </control>
          </mc:Choice>
        </mc:AlternateContent>
        <mc:AlternateContent xmlns:mc="http://schemas.openxmlformats.org/markup-compatibility/2006">
          <mc:Choice Requires="x14">
            <control shapeId="11270" r:id="rId8" name="Drop Down 6">
              <controlPr defaultSize="0" autoLine="0" autoPict="0">
                <anchor>
                  <from>
                    <xdr:col>9</xdr:col>
                    <xdr:colOff>38100</xdr:colOff>
                    <xdr:row>23</xdr:row>
                    <xdr:rowOff>0</xdr:rowOff>
                  </from>
                  <to>
                    <xdr:col>10</xdr:col>
                    <xdr:colOff>66675</xdr:colOff>
                    <xdr:row>24</xdr:row>
                    <xdr:rowOff>19050</xdr:rowOff>
                  </to>
                </anchor>
              </controlPr>
            </control>
          </mc:Choice>
        </mc:AlternateContent>
        <mc:AlternateContent xmlns:mc="http://schemas.openxmlformats.org/markup-compatibility/2006">
          <mc:Choice Requires="x14">
            <control shapeId="11273" r:id="rId9" name="Drop Down 9">
              <controlPr defaultSize="0" autoLine="0" autoPict="0">
                <anchor>
                  <from>
                    <xdr:col>1</xdr:col>
                    <xdr:colOff>57150</xdr:colOff>
                    <xdr:row>22</xdr:row>
                    <xdr:rowOff>0</xdr:rowOff>
                  </from>
                  <to>
                    <xdr:col>1</xdr:col>
                    <xdr:colOff>1838325</xdr:colOff>
                    <xdr:row>23</xdr:row>
                    <xdr:rowOff>0</xdr:rowOff>
                  </to>
                </anchor>
              </controlPr>
            </control>
          </mc:Choice>
        </mc:AlternateContent>
        <mc:AlternateContent xmlns:mc="http://schemas.openxmlformats.org/markup-compatibility/2006">
          <mc:Choice Requires="x14">
            <control shapeId="11274" r:id="rId10" name="Drop Down 10">
              <controlPr defaultSize="0" autoLine="0" autoPict="0">
                <anchor>
                  <from>
                    <xdr:col>5</xdr:col>
                    <xdr:colOff>28575</xdr:colOff>
                    <xdr:row>18</xdr:row>
                    <xdr:rowOff>180975</xdr:rowOff>
                  </from>
                  <to>
                    <xdr:col>5</xdr:col>
                    <xdr:colOff>1790700</xdr:colOff>
                    <xdr:row>20</xdr:row>
                    <xdr:rowOff>0</xdr:rowOff>
                  </to>
                </anchor>
              </controlPr>
            </control>
          </mc:Choice>
        </mc:AlternateContent>
        <mc:AlternateContent xmlns:mc="http://schemas.openxmlformats.org/markup-compatibility/2006">
          <mc:Choice Requires="x14">
            <control shapeId="11275" r:id="rId11" name="Drop Down 11">
              <controlPr defaultSize="0" autoLine="0" autoPict="0">
                <anchor>
                  <from>
                    <xdr:col>5</xdr:col>
                    <xdr:colOff>28575</xdr:colOff>
                    <xdr:row>21</xdr:row>
                    <xdr:rowOff>0</xdr:rowOff>
                  </from>
                  <to>
                    <xdr:col>5</xdr:col>
                    <xdr:colOff>1790700</xdr:colOff>
                    <xdr:row>22</xdr:row>
                    <xdr:rowOff>9525</xdr:rowOff>
                  </to>
                </anchor>
              </controlPr>
            </control>
          </mc:Choice>
        </mc:AlternateContent>
        <mc:AlternateContent xmlns:mc="http://schemas.openxmlformats.org/markup-compatibility/2006">
          <mc:Choice Requires="x14">
            <control shapeId="11279" r:id="rId12" name="Drop Down 15">
              <controlPr defaultSize="0" autoLine="0" autoPict="0">
                <anchor>
                  <from>
                    <xdr:col>5</xdr:col>
                    <xdr:colOff>28575</xdr:colOff>
                    <xdr:row>23</xdr:row>
                    <xdr:rowOff>19050</xdr:rowOff>
                  </from>
                  <to>
                    <xdr:col>5</xdr:col>
                    <xdr:colOff>1790700</xdr:colOff>
                    <xdr:row>24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tabColor theme="5" tint="0.39997558519241921"/>
  </sheetPr>
  <dimension ref="A1:AC12"/>
  <sheetViews>
    <sheetView zoomScaleNormal="100" workbookViewId="0"/>
  </sheetViews>
  <sheetFormatPr defaultColWidth="9.140625" defaultRowHeight="15" x14ac:dyDescent="0.25"/>
  <cols>
    <col min="1" max="1" width="7.7109375" style="96" customWidth="1"/>
    <col min="2" max="2" width="9.140625" style="97"/>
    <col min="3" max="5" width="8.7109375" style="96" customWidth="1"/>
    <col min="6" max="6" width="3.7109375" style="96" customWidth="1"/>
    <col min="7" max="7" width="9.5703125" style="96" customWidth="1"/>
    <col min="8" max="8" width="3.7109375" style="96" customWidth="1"/>
    <col min="9" max="17" width="8.7109375" style="96" customWidth="1"/>
    <col min="18" max="18" width="4.42578125" style="96" customWidth="1"/>
    <col min="19" max="19" width="8.7109375" style="96" customWidth="1"/>
    <col min="20" max="20" width="4.42578125" style="96" customWidth="1"/>
    <col min="21" max="23" width="8.7109375" style="96" customWidth="1"/>
    <col min="24" max="24" width="4.42578125" style="96" customWidth="1"/>
    <col min="25" max="25" width="8.7109375" style="96" customWidth="1"/>
    <col min="26" max="26" width="8.7109375" style="96" hidden="1" customWidth="1"/>
    <col min="27" max="28" width="8.7109375" style="96" customWidth="1"/>
    <col min="29" max="16384" width="9.140625" style="96"/>
  </cols>
  <sheetData>
    <row r="1" spans="1:29" s="109" customFormat="1" ht="36" customHeight="1" x14ac:dyDescent="0.25">
      <c r="A1" s="66" t="s">
        <v>34</v>
      </c>
      <c r="B1" s="108" t="s">
        <v>56</v>
      </c>
      <c r="Q1" s="72" t="str">
        <f>'Beregn stx'!K1</f>
        <v/>
      </c>
      <c r="AB1" s="72" t="str">
        <f>'Beregn stx'!O1</f>
        <v/>
      </c>
    </row>
    <row r="2" spans="1:29" ht="24.95" customHeight="1" x14ac:dyDescent="0.25">
      <c r="C2" s="98"/>
      <c r="D2" s="98"/>
      <c r="E2" s="98"/>
      <c r="G2" s="98"/>
      <c r="I2" s="98"/>
      <c r="J2" s="98"/>
      <c r="K2" s="98"/>
      <c r="L2" s="98"/>
      <c r="M2" s="98"/>
      <c r="N2" s="98"/>
      <c r="O2" s="98"/>
      <c r="P2" s="98"/>
      <c r="Q2" s="99"/>
      <c r="R2" s="99"/>
      <c r="S2" s="115"/>
      <c r="T2" s="99"/>
      <c r="U2" s="99"/>
      <c r="V2" s="99"/>
      <c r="W2" s="99"/>
      <c r="Y2" s="98"/>
      <c r="Z2" s="98"/>
    </row>
    <row r="3" spans="1:29" s="100" customFormat="1" ht="24.95" customHeight="1" x14ac:dyDescent="0.25">
      <c r="C3" s="110" t="s">
        <v>40</v>
      </c>
      <c r="D3" s="111"/>
      <c r="E3" s="112"/>
      <c r="F3" s="101"/>
      <c r="G3" s="112" t="s">
        <v>60</v>
      </c>
      <c r="I3" s="110" t="s">
        <v>31</v>
      </c>
      <c r="J3" s="111"/>
      <c r="K3" s="111"/>
      <c r="L3" s="111"/>
      <c r="M3" s="111"/>
      <c r="N3" s="111"/>
      <c r="O3" s="111"/>
      <c r="P3" s="111"/>
      <c r="Q3" s="121"/>
      <c r="R3" s="101"/>
      <c r="S3" s="440" t="s">
        <v>182</v>
      </c>
      <c r="T3" s="101"/>
      <c r="U3" s="496" t="s">
        <v>41</v>
      </c>
      <c r="V3" s="497"/>
      <c r="W3" s="498"/>
      <c r="X3" s="101"/>
      <c r="Y3" s="496" t="s">
        <v>181</v>
      </c>
      <c r="Z3" s="497"/>
      <c r="AA3" s="497"/>
      <c r="AB3" s="498"/>
    </row>
    <row r="5" spans="1:29" ht="45" customHeight="1" x14ac:dyDescent="0.25">
      <c r="B5" s="102" t="s">
        <v>1</v>
      </c>
      <c r="C5" s="103">
        <f>IF(C8=3,1,0)</f>
        <v>0</v>
      </c>
      <c r="D5" s="103">
        <f>IF(D8=3,1,0)</f>
        <v>0</v>
      </c>
      <c r="E5" s="103">
        <f>IF(E8=3,1,0)</f>
        <v>0</v>
      </c>
      <c r="F5" s="104"/>
      <c r="G5" s="103">
        <f>IF(AND(G8=2,G10=-1),0,IF(G10=-1,-1,IF(G8=3,1,0)))</f>
        <v>0</v>
      </c>
      <c r="H5" s="104"/>
      <c r="I5" s="103">
        <f>IF(I10=-1,-1,(IF(I8=3,1,0)))</f>
        <v>1</v>
      </c>
      <c r="J5" s="103">
        <f>IF(J10=-1,-1,(IF(J8=3,1,0)))</f>
        <v>1</v>
      </c>
      <c r="K5" s="103"/>
      <c r="L5" s="103"/>
      <c r="M5" s="103"/>
      <c r="N5" s="103"/>
      <c r="O5" s="103"/>
      <c r="P5" s="103"/>
      <c r="Q5" s="103"/>
      <c r="R5" s="103"/>
      <c r="S5" s="103"/>
      <c r="T5" s="103"/>
      <c r="U5" s="103"/>
      <c r="V5" s="103"/>
      <c r="W5" s="105">
        <f>IF(W10=-1,-1,(IF(W8=3,1,0)))</f>
        <v>0</v>
      </c>
      <c r="X5" s="104"/>
      <c r="Y5" s="104"/>
      <c r="Z5" s="104"/>
      <c r="AA5" s="105">
        <f>IF(AA10=-1,-1,IF(AA8=3,1,0))</f>
        <v>0</v>
      </c>
      <c r="AB5" s="105">
        <f>IF(AB8=3,1,0)</f>
        <v>0</v>
      </c>
    </row>
    <row r="6" spans="1:29" ht="45" customHeight="1" x14ac:dyDescent="0.25">
      <c r="B6" s="102" t="s">
        <v>6</v>
      </c>
      <c r="C6" s="103">
        <f>IF(C8=3,1,IF(C8=2,1,0))</f>
        <v>0</v>
      </c>
      <c r="D6" s="103">
        <f>IF(D10=-1,-1,IF(D8=3,1,IF(D8=2,1,0)))</f>
        <v>0</v>
      </c>
      <c r="E6" s="103">
        <f>IF(E8=0,0,IF(E10=-1,-1,IF(E8=3,1,IF(E8=2,1,0))))</f>
        <v>0</v>
      </c>
      <c r="F6" s="104"/>
      <c r="G6" s="103">
        <f>IF(G10=-1,-1,IF(G8=3,1,IF(G8=2,1,0)))</f>
        <v>0</v>
      </c>
      <c r="H6" s="104"/>
      <c r="I6" s="103">
        <f>IF(I10=-1,-1,(IF(I8=3,1,IF(I8=2,1,0))))</f>
        <v>1</v>
      </c>
      <c r="J6" s="103">
        <f>IF(J10=-1,-1,(IF(J8=3,1,IF(J8=2,1,0))))</f>
        <v>1</v>
      </c>
      <c r="K6" s="103">
        <f>IF(K10=-1,-1,(IF(K8=3,1,IF(K8=2,1,0))))</f>
        <v>1</v>
      </c>
      <c r="L6" s="103">
        <f>IF(AND(L8=1,L10=-1),0,IF(L10=-1,-1,(IF(L8=3,1,IF(L8=2,1,0)))))</f>
        <v>1</v>
      </c>
      <c r="M6" s="103"/>
      <c r="N6" s="103"/>
      <c r="O6" s="103"/>
      <c r="P6" s="103"/>
      <c r="Q6" s="103"/>
      <c r="R6" s="103"/>
      <c r="S6" s="103"/>
      <c r="T6" s="103"/>
      <c r="U6" s="103"/>
      <c r="V6" s="103">
        <f>IF(AND(V8=1,V10=-1),0,IF(V10=-1,-1,(IF(V8=3,1,IF(V8=2,1,0)))))</f>
        <v>0</v>
      </c>
      <c r="W6" s="103">
        <f>IF(W10=-1,-1,(IF(W8=3,1,IF(W8=2,1,0))))</f>
        <v>0</v>
      </c>
      <c r="X6" s="104"/>
      <c r="Y6" s="103">
        <f>IF(Y8=0,0,IF(AND(Y8=1,Y10=-1),0,IF(Y10=-1,-1,IF(Y8=3,1,IF(Y8=2,1,0)))))</f>
        <v>0</v>
      </c>
      <c r="Z6" s="104"/>
      <c r="AA6" s="103">
        <f>IF(AA10=-1,-1,IF(AA8=3,1,IF(AA8=2,1,0)))</f>
        <v>0</v>
      </c>
      <c r="AB6" s="103">
        <f>IF(AB8=3,1,IF(AB8=2,1,0))</f>
        <v>0</v>
      </c>
    </row>
    <row r="7" spans="1:29" ht="45" customHeight="1" x14ac:dyDescent="0.25">
      <c r="B7" s="102" t="s">
        <v>4</v>
      </c>
      <c r="C7" s="103">
        <f>IF(C8=3,1,IF(C8=2,1,IF(C8=1,1,0)))</f>
        <v>0</v>
      </c>
      <c r="D7" s="103">
        <f>IF(D10=-1,-1,IF(D8=3,1,IF(D8=2,1,IF(D8=1,1,0))))</f>
        <v>0</v>
      </c>
      <c r="E7" s="103">
        <f>IF(E8=0,0,IF(E10=-1,-1,IF(E8=3,1,IF(E8=2,1,IF(E8=1,1,0)))))</f>
        <v>0</v>
      </c>
      <c r="F7" s="104"/>
      <c r="G7" s="103">
        <f>IF(G10=-1,-1,IF(G8=3,1,IF(G8=2,1,IF(G8=1,1,0))))</f>
        <v>0</v>
      </c>
      <c r="H7" s="104"/>
      <c r="I7" s="103">
        <f t="shared" ref="I7:P7" si="0">IF(I10=-1,-1,(IF(I8=3,1,IF(I8=2,1,IF(I8=1,1,0)))))</f>
        <v>1</v>
      </c>
      <c r="J7" s="103">
        <f t="shared" si="0"/>
        <v>1</v>
      </c>
      <c r="K7" s="103">
        <f>IF(K10=-1,-1,(IF(K8=3,1,IF(K8=2,1,IF(K8=1,1,0)))))</f>
        <v>1</v>
      </c>
      <c r="L7" s="103">
        <f t="shared" si="0"/>
        <v>1</v>
      </c>
      <c r="M7" s="103">
        <f t="shared" si="0"/>
        <v>1</v>
      </c>
      <c r="N7" s="103">
        <f t="shared" si="0"/>
        <v>1</v>
      </c>
      <c r="O7" s="103">
        <f>IF(O10=-1,-1,(IF(O8=3,1,IF(O8=2,1,IF(O8=1,1,0)))))</f>
        <v>1</v>
      </c>
      <c r="P7" s="103">
        <f t="shared" si="0"/>
        <v>1</v>
      </c>
      <c r="Q7" s="103">
        <f>IF(Q10=-1,-1,(IF(Q8=3,1,IF(Q8=2,1,IF(Q8=1,1,0)))))</f>
        <v>1</v>
      </c>
      <c r="R7" s="103"/>
      <c r="S7" s="103">
        <f>IF(S10=-1,-1,IF(S8=3,1,IF(S8=2,1,IF(S8=1,1,0))))</f>
        <v>0</v>
      </c>
      <c r="T7" s="103"/>
      <c r="U7" s="103">
        <f>IF(U10=-1,-1,IF(U8=3,1,IF(U8=2,1,IF(U8=1,1,0))))</f>
        <v>0</v>
      </c>
      <c r="V7" s="103">
        <f>IF(V10=-1,-1,IF(V8=3,1,IF(V8=2,1,IF(V8=1,1,0))))</f>
        <v>0</v>
      </c>
      <c r="W7" s="103">
        <f>IF(W10=-1,-1,IF(W8=3,1,IF(W8=2,1,IF(W8=1,1,0))))</f>
        <v>0</v>
      </c>
      <c r="X7" s="104"/>
      <c r="Y7" s="103">
        <f>IF(Y8=0,0,IF(Y10=-1,-1,IF(Y8=3,1,IF(Y8=2,1,IF(Y8=1,1,0)))))</f>
        <v>0</v>
      </c>
      <c r="Z7" s="103">
        <f>IF(Z10=-1,-1,IF(Z8=3,1,IF(Z8=2,1,IF(Z8=1,1,0))))</f>
        <v>-1</v>
      </c>
      <c r="AA7" s="103">
        <f>IF(AA10=-1,-1,IF(AA8=3,1,IF(AA8=2,1,IF(AA8=1,1,0))))</f>
        <v>0</v>
      </c>
      <c r="AB7" s="103">
        <f>IF(AB8=3,1,IF(AB8=2,1,IF(AB8=1,1,0)))</f>
        <v>0</v>
      </c>
    </row>
    <row r="8" spans="1:29" s="104" customFormat="1" x14ac:dyDescent="0.25">
      <c r="B8" s="97"/>
      <c r="C8" s="119">
        <f>IF('Data stx'!B19="A",3,IF('Data stx'!B19="B",2,IF('Data stx'!B19="C",1,0)))</f>
        <v>0</v>
      </c>
      <c r="D8" s="119">
        <f>IF('Data stx'!B20="A",3,IF('Data stx'!B20="B",2,IF('Data stx'!B20="C",1,0)))</f>
        <v>0</v>
      </c>
      <c r="E8" s="119">
        <f>IF('Data stx'!B21="A",3,IF('Data stx'!B21="B",2,IF('Data stx'!B21="C",1,0)))</f>
        <v>0</v>
      </c>
      <c r="F8" s="119"/>
      <c r="G8" s="119">
        <f>IF('Data stx'!B34="A",3,IF('Data stx'!B34="B",2,IF('Data stx'!B34="C",1,0)))</f>
        <v>0</v>
      </c>
      <c r="H8" s="119"/>
      <c r="I8" s="119">
        <f>IF('Beregn stx'!$G4="A",3,IF('Beregn stx'!$G4="B",2,IF('Beregn stx'!$G4="C",1,0)))</f>
        <v>3</v>
      </c>
      <c r="J8" s="119">
        <f>IF('Beregn stx'!$G5="A",3,IF('Beregn stx'!$G5="B",2,IF('Beregn stx'!$G5="C",1,0)))</f>
        <v>3</v>
      </c>
      <c r="K8" s="119">
        <f>IF('Beregn stx'!$G6="A",3,IF('Beregn stx'!$G6="B",2,IF('Beregn stx'!$G6="C",1,0)))</f>
        <v>2</v>
      </c>
      <c r="L8" s="119">
        <f>IF('Beregn stx'!$G7="A",3,IF('Beregn stx'!$G7="B",2,IF('Beregn stx'!$G7="C",1,0)))</f>
        <v>2</v>
      </c>
      <c r="M8" s="119">
        <f>IF('Beregn stx'!$G8="A",3,IF('Beregn stx'!$G8="B",2,IF('Beregn stx'!$G8="C",1,0)))</f>
        <v>1</v>
      </c>
      <c r="N8" s="119">
        <f>IF('Beregn stx'!$G9="A",3,IF('Beregn stx'!$G9="B",2,IF('Beregn stx'!$G9="C",1,0)))</f>
        <v>1</v>
      </c>
      <c r="O8" s="119">
        <f>IF('Beregn stx'!$G10="A",3,IF('Beregn stx'!$G10="B",2,IF('Beregn stx'!$G10="C",1,0)))</f>
        <v>1</v>
      </c>
      <c r="P8" s="119">
        <f>IF('Beregn stx'!$G11="A",3,IF('Beregn stx'!$G11="B",2,IF('Beregn stx'!$G11="C",1,0)))</f>
        <v>1</v>
      </c>
      <c r="Q8" s="119">
        <f>IF('Beregn stx'!$G12="A",3,IF('Beregn stx'!$G12="B",2,IF('Beregn stx'!$G12="C",1,0)))</f>
        <v>1</v>
      </c>
      <c r="R8" s="119"/>
      <c r="S8" s="119">
        <f>IF('Beregn stx'!$C23="A",3,IF('Beregn stx'!$C23="B",2,IF('Beregn stx'!$C23="C",1,0)))</f>
        <v>0</v>
      </c>
      <c r="T8" s="119"/>
      <c r="U8" s="119">
        <f>IF('Beregn stx'!$G20="A",3,IF('Beregn stx'!$G20="B",2,IF('Beregn stx'!$G20="C",1,0)))</f>
        <v>0</v>
      </c>
      <c r="V8" s="119">
        <f>IF('Beregn stx'!$G22="A",3,IF('Beregn stx'!$G22="B",2,IF('Beregn stx'!$G22="C",1,0)))</f>
        <v>0</v>
      </c>
      <c r="W8" s="119">
        <f>IF('Beregn stx'!$G24="A",3,IF('Beregn stx'!$G24="B",2,IF('Beregn stx'!$G24="C",1,0)))</f>
        <v>0</v>
      </c>
      <c r="X8" s="119"/>
      <c r="Y8" s="119">
        <f>IF('Data stx'!B86="A",3,IF('Data stx'!B86="B",2,IF('Data stx'!B86="C",1,0)))</f>
        <v>0</v>
      </c>
      <c r="Z8" s="119">
        <f>IF('Data stx'!B111="A",3,IF('Data stx'!B111="B",2,IF('Data stx'!B111="C",1,0)))</f>
        <v>0</v>
      </c>
      <c r="AA8" s="119">
        <f>IF('Data stx'!B116="A",3,IF('Data stx'!B116="B",2,IF('Data stx'!B116="C",1,0)))</f>
        <v>0</v>
      </c>
      <c r="AB8" s="119">
        <f>IF('Data stx'!B155="A",3,IF('Data stx'!B155="B",2,IF('Data stx'!B155="C",1,0)))</f>
        <v>0</v>
      </c>
      <c r="AC8" s="117"/>
    </row>
    <row r="9" spans="1:29" s="106" customFormat="1" ht="69.75" customHeight="1" x14ac:dyDescent="0.25">
      <c r="B9" s="107"/>
      <c r="C9" s="106" t="str">
        <f>'Data stx'!A19</f>
        <v xml:space="preserve"> </v>
      </c>
      <c r="D9" s="106" t="str">
        <f>'Data stx'!A20</f>
        <v xml:space="preserve"> </v>
      </c>
      <c r="E9" s="106" t="str">
        <f>'Data stx'!A21</f>
        <v xml:space="preserve"> </v>
      </c>
      <c r="G9" s="106" t="str">
        <f>IF('Data stx'!A34="VÆLG","",'Data stx'!A34)</f>
        <v/>
      </c>
      <c r="I9" s="106" t="str">
        <f>'Beregn stx'!$F4</f>
        <v>Dansk</v>
      </c>
      <c r="J9" s="106" t="str">
        <f>'Beregn stx'!$F5</f>
        <v>Historie</v>
      </c>
      <c r="K9" s="106" t="str">
        <f>'Beregn stx'!$F6</f>
        <v>Engelsk</v>
      </c>
      <c r="L9" s="106" t="str">
        <f>'Beregn stx'!$F7</f>
        <v>Matematik</v>
      </c>
      <c r="M9" s="106" t="str">
        <f>'Beregn stx'!$F8</f>
        <v>Fysik</v>
      </c>
      <c r="N9" s="106" t="str">
        <f>'Beregn stx'!$F9</f>
        <v>Idræt</v>
      </c>
      <c r="O9" s="106" t="str">
        <f>'Beregn stx'!$F10</f>
        <v>Oldtidskundskab</v>
      </c>
      <c r="P9" s="106" t="str">
        <f>'Beregn stx'!$F11</f>
        <v>Religion</v>
      </c>
      <c r="Q9" s="106" t="str">
        <f>'Beregn stx'!$F12</f>
        <v>Samfundsfag</v>
      </c>
      <c r="S9" s="106" t="str">
        <f>IF('Data stx'!A80="VÆLG","",'Data stx'!A80)</f>
        <v/>
      </c>
      <c r="U9" s="106" t="str">
        <f>'Data stx'!A189</f>
        <v/>
      </c>
      <c r="V9" s="106" t="str">
        <f>'Data stx'!A190</f>
        <v/>
      </c>
      <c r="W9" s="106" t="str">
        <f>'Data stx'!A191</f>
        <v/>
      </c>
      <c r="Y9" s="106" t="str">
        <f>IF(Y8=0,"",IF('Data stx'!A86="VÆLG","",'Data stx'!A86))</f>
        <v/>
      </c>
      <c r="Z9" s="106">
        <f>IF('Data stx'!A111="VÆLG","",'Data stx'!A111)</f>
        <v>0</v>
      </c>
      <c r="AA9" s="106" t="str">
        <f>IF('Data stx'!A116="VÆLG","",'Data stx'!A116)</f>
        <v/>
      </c>
      <c r="AB9" s="106" t="str">
        <f>IF('Data stx'!A155="VÆLG","",'Data stx'!A155)</f>
        <v/>
      </c>
    </row>
    <row r="10" spans="1:29" s="104" customFormat="1" ht="19.5" customHeight="1" x14ac:dyDescent="0.25">
      <c r="B10" s="97"/>
      <c r="C10" s="119"/>
      <c r="D10" s="119">
        <f>IF('Data stx'!$D186=0,-1,0)</f>
        <v>0</v>
      </c>
      <c r="E10" s="119">
        <f>IF('Data stx'!$D187=0,-1,0)</f>
        <v>-1</v>
      </c>
      <c r="F10" s="117"/>
      <c r="G10" s="117">
        <f>IF(G9="",0,IF(C9=G9,-1,IF('Data stx'!$D188=0,-1,0)))</f>
        <v>0</v>
      </c>
      <c r="H10" s="117"/>
      <c r="I10" s="117">
        <f>IF('Data stx'!$D197=0,-1,0)</f>
        <v>0</v>
      </c>
      <c r="J10" s="120">
        <f>IF('Data stx'!$D198=0,-1,0)</f>
        <v>0</v>
      </c>
      <c r="K10" s="120">
        <f>IF('Data stx'!$D199=0,-1,0)</f>
        <v>0</v>
      </c>
      <c r="L10" s="120">
        <f>IF('Data stx'!$D200=0,-1,0)</f>
        <v>0</v>
      </c>
      <c r="M10" s="120">
        <f>IF('Data stx'!$D201=0,-1,0)</f>
        <v>0</v>
      </c>
      <c r="N10" s="120">
        <f>IF('Data stx'!$D202=0,-1,0)</f>
        <v>0</v>
      </c>
      <c r="O10" s="120">
        <f>IF('Data stx'!$D203=0,-1,0)</f>
        <v>0</v>
      </c>
      <c r="P10" s="120">
        <f>IF('Data stx'!$D204=0,-1,0)</f>
        <v>0</v>
      </c>
      <c r="Q10" s="120">
        <f>IF('Data stx'!$D205=0,-1,0)</f>
        <v>0</v>
      </c>
      <c r="R10" s="120"/>
      <c r="S10" s="120">
        <f>IF(S9="",0,IF('Data stx'!$D192=0,-1,0))</f>
        <v>0</v>
      </c>
      <c r="T10" s="117"/>
      <c r="U10" s="117">
        <f>IF(U9="",0,IF('Data stx'!$D189=0,-1,0))</f>
        <v>0</v>
      </c>
      <c r="V10" s="117">
        <f>IF(V9="",0,IF('Data stx'!$D190=0,-1,0))</f>
        <v>0</v>
      </c>
      <c r="W10" s="117">
        <f>IF(W9="",0,IF('Data stx'!$D191=0,-1,0))</f>
        <v>0</v>
      </c>
      <c r="X10" s="119"/>
      <c r="Y10" s="439">
        <f>IF(Y9="",0,IF('Data stx'!$D193=0,-1,0))</f>
        <v>0</v>
      </c>
      <c r="Z10" s="439">
        <f>IF(Z9="",0,IF('Data stx'!$D194=0,-1,0))</f>
        <v>-1</v>
      </c>
      <c r="AA10" s="119">
        <f>IF(AA9="",0,IF(AA9=AB9,-1,0))</f>
        <v>0</v>
      </c>
      <c r="AB10" s="119"/>
    </row>
    <row r="11" spans="1:29" ht="24.95" customHeight="1" x14ac:dyDescent="0.25">
      <c r="C11" s="110" t="s">
        <v>69</v>
      </c>
      <c r="D11" s="111"/>
      <c r="E11" s="502" t="str">
        <f>'Data stx'!A6</f>
        <v>VÆLG</v>
      </c>
      <c r="F11" s="503"/>
      <c r="G11" s="503"/>
      <c r="H11" s="503"/>
      <c r="I11" s="504"/>
      <c r="J11" s="309" t="s">
        <v>70</v>
      </c>
      <c r="K11" s="309"/>
      <c r="L11" s="499" t="str">
        <f>G9&amp;", "&amp;'Beregn stx'!B18</f>
        <v xml:space="preserve">,  </v>
      </c>
      <c r="M11" s="500"/>
      <c r="N11" s="501"/>
      <c r="O11" s="508" t="s">
        <v>183</v>
      </c>
      <c r="P11" s="509"/>
      <c r="Q11" s="510" t="str">
        <f>IF(C9="Musik","Musik",S9)</f>
        <v/>
      </c>
      <c r="R11" s="511"/>
      <c r="S11" s="512"/>
      <c r="Y11" s="505" t="s">
        <v>43</v>
      </c>
      <c r="Z11" s="506"/>
      <c r="AA11" s="506"/>
      <c r="AB11" s="507"/>
    </row>
    <row r="12" spans="1:29" x14ac:dyDescent="0.25">
      <c r="J12" s="122"/>
      <c r="K12" s="122"/>
      <c r="L12" s="122"/>
      <c r="M12" s="122"/>
      <c r="N12" s="122"/>
      <c r="O12" s="122"/>
      <c r="P12" s="122"/>
      <c r="Q12" s="99"/>
    </row>
  </sheetData>
  <sheetProtection algorithmName="SHA-512" hashValue="qa9ESU8Qw1N5pEOMfm+o/XuTOUgvAR1odIy2Z2w1NPjEoTKq9stjw5EtPmMOUnAGjmqpuTX40fZ/ElLtUqmVjg==" saltValue="+GZI/BTIJafgSkdoEJEa/A==" spinCount="100000" sheet="1" objects="1" scenarios="1"/>
  <mergeCells count="7">
    <mergeCell ref="Y3:AB3"/>
    <mergeCell ref="U3:W3"/>
    <mergeCell ref="L11:N11"/>
    <mergeCell ref="E11:I11"/>
    <mergeCell ref="Y11:AB11"/>
    <mergeCell ref="O11:P11"/>
    <mergeCell ref="Q11:S11"/>
  </mergeCells>
  <conditionalFormatting sqref="Y5">
    <cfRule type="cellIs" dxfId="98" priority="78" operator="greaterThan">
      <formula>0</formula>
    </cfRule>
  </conditionalFormatting>
  <conditionalFormatting sqref="Z6">
    <cfRule type="cellIs" dxfId="97" priority="76" operator="greaterThan">
      <formula>0</formula>
    </cfRule>
    <cfRule type="cellIs" dxfId="96" priority="77" operator="greaterThan">
      <formula>1</formula>
    </cfRule>
  </conditionalFormatting>
  <conditionalFormatting sqref="Z5">
    <cfRule type="cellIs" dxfId="95" priority="75" operator="greaterThan">
      <formula>0</formula>
    </cfRule>
  </conditionalFormatting>
  <conditionalFormatting sqref="Z5:Z6">
    <cfRule type="cellIs" dxfId="94" priority="73" operator="greaterThan">
      <formula>0</formula>
    </cfRule>
    <cfRule type="cellIs" dxfId="93" priority="74" operator="greaterThan">
      <formula>0</formula>
    </cfRule>
  </conditionalFormatting>
  <conditionalFormatting sqref="N17">
    <cfRule type="cellIs" dxfId="92" priority="71" operator="greaterThan">
      <formula>0</formula>
    </cfRule>
  </conditionalFormatting>
  <conditionalFormatting sqref="N16">
    <cfRule type="cellIs" dxfId="91" priority="69" operator="greaterThan">
      <formula>0</formula>
    </cfRule>
    <cfRule type="cellIs" dxfId="90" priority="70" operator="greaterThan">
      <formula>1</formula>
    </cfRule>
  </conditionalFormatting>
  <conditionalFormatting sqref="N15">
    <cfRule type="cellIs" dxfId="89" priority="68" operator="greaterThan">
      <formula>0</formula>
    </cfRule>
  </conditionalFormatting>
  <conditionalFormatting sqref="N15:N17">
    <cfRule type="cellIs" dxfId="88" priority="65" operator="equal">
      <formula>-1</formula>
    </cfRule>
    <cfRule type="cellIs" dxfId="87" priority="66" operator="greaterThan">
      <formula>0</formula>
    </cfRule>
    <cfRule type="cellIs" dxfId="86" priority="67" operator="greaterThan">
      <formula>0</formula>
    </cfRule>
  </conditionalFormatting>
  <conditionalFormatting sqref="E6:E7 Y7 G5:G7 D5:D7 AA7 I6:W7 I5:V5">
    <cfRule type="cellIs" dxfId="85" priority="64" operator="equal">
      <formula>-1</formula>
    </cfRule>
  </conditionalFormatting>
  <conditionalFormatting sqref="T7 I7:R7">
    <cfRule type="cellIs" dxfId="84" priority="63" operator="greaterThan">
      <formula>0</formula>
    </cfRule>
  </conditionalFormatting>
  <conditionalFormatting sqref="I6:W6">
    <cfRule type="cellIs" dxfId="83" priority="62" operator="greaterThan">
      <formula>0</formula>
    </cfRule>
  </conditionalFormatting>
  <conditionalFormatting sqref="I5:Q5">
    <cfRule type="cellIs" dxfId="82" priority="61" operator="greaterThan">
      <formula>0</formula>
    </cfRule>
  </conditionalFormatting>
  <conditionalFormatting sqref="Y7:Z7">
    <cfRule type="cellIs" dxfId="81" priority="60" operator="greaterThan">
      <formula>0</formula>
    </cfRule>
  </conditionalFormatting>
  <conditionalFormatting sqref="G7">
    <cfRule type="cellIs" dxfId="80" priority="57" operator="greaterThan">
      <formula>0</formula>
    </cfRule>
  </conditionalFormatting>
  <conditionalFormatting sqref="G6">
    <cfRule type="cellIs" dxfId="79" priority="56" operator="greaterThan">
      <formula>0</formula>
    </cfRule>
  </conditionalFormatting>
  <conditionalFormatting sqref="G5">
    <cfRule type="cellIs" dxfId="78" priority="55" operator="greaterThan">
      <formula>0</formula>
    </cfRule>
  </conditionalFormatting>
  <conditionalFormatting sqref="C7:E7">
    <cfRule type="cellIs" dxfId="77" priority="54" operator="greaterThan">
      <formula>0</formula>
    </cfRule>
  </conditionalFormatting>
  <conditionalFormatting sqref="C6:E6">
    <cfRule type="cellIs" dxfId="76" priority="53" operator="greaterThan">
      <formula>0</formula>
    </cfRule>
  </conditionalFormatting>
  <conditionalFormatting sqref="C5:E5">
    <cfRule type="cellIs" dxfId="75" priority="52" operator="greaterThan">
      <formula>0</formula>
    </cfRule>
  </conditionalFormatting>
  <conditionalFormatting sqref="D6:Q7 G5">
    <cfRule type="cellIs" dxfId="74" priority="50" operator="equal">
      <formula>-1</formula>
    </cfRule>
  </conditionalFormatting>
  <conditionalFormatting sqref="S7">
    <cfRule type="cellIs" dxfId="73" priority="39" operator="greaterThan">
      <formula>0</formula>
    </cfRule>
  </conditionalFormatting>
  <conditionalFormatting sqref="S7">
    <cfRule type="cellIs" dxfId="72" priority="38" operator="equal">
      <formula>-1</formula>
    </cfRule>
  </conditionalFormatting>
  <conditionalFormatting sqref="U7:W7">
    <cfRule type="cellIs" dxfId="71" priority="37" operator="greaterThan">
      <formula>0</formula>
    </cfRule>
  </conditionalFormatting>
  <conditionalFormatting sqref="Y7 U7:W7 AA7">
    <cfRule type="cellIs" dxfId="70" priority="36" operator="equal">
      <formula>-1</formula>
    </cfRule>
  </conditionalFormatting>
  <conditionalFormatting sqref="Z7">
    <cfRule type="cellIs" dxfId="69" priority="34" operator="equal">
      <formula>-1</formula>
    </cfRule>
  </conditionalFormatting>
  <conditionalFormatting sqref="Z7">
    <cfRule type="cellIs" dxfId="68" priority="33" operator="equal">
      <formula>-1</formula>
    </cfRule>
  </conditionalFormatting>
  <conditionalFormatting sqref="W6">
    <cfRule type="cellIs" dxfId="67" priority="30" operator="equal">
      <formula>-1</formula>
    </cfRule>
  </conditionalFormatting>
  <conditionalFormatting sqref="V6">
    <cfRule type="cellIs" dxfId="66" priority="29" operator="equal">
      <formula>-1</formula>
    </cfRule>
  </conditionalFormatting>
  <conditionalFormatting sqref="V6">
    <cfRule type="cellIs" dxfId="65" priority="28" operator="greaterThan">
      <formula>0</formula>
    </cfRule>
  </conditionalFormatting>
  <conditionalFormatting sqref="V6">
    <cfRule type="cellIs" dxfId="64" priority="27" operator="equal">
      <formula>-1</formula>
    </cfRule>
  </conditionalFormatting>
  <conditionalFormatting sqref="W6">
    <cfRule type="cellIs" dxfId="63" priority="26" operator="equal">
      <formula>-1</formula>
    </cfRule>
  </conditionalFormatting>
  <conditionalFormatting sqref="W6">
    <cfRule type="cellIs" dxfId="62" priority="25" operator="greaterThan">
      <formula>0</formula>
    </cfRule>
  </conditionalFormatting>
  <conditionalFormatting sqref="W6">
    <cfRule type="cellIs" dxfId="61" priority="24" operator="equal">
      <formula>-1</formula>
    </cfRule>
  </conditionalFormatting>
  <conditionalFormatting sqref="AA7">
    <cfRule type="cellIs" dxfId="60" priority="20" operator="greaterThan">
      <formula>0</formula>
    </cfRule>
  </conditionalFormatting>
  <conditionalFormatting sqref="AB7">
    <cfRule type="cellIs" dxfId="59" priority="19" operator="equal">
      <formula>-1</formula>
    </cfRule>
  </conditionalFormatting>
  <conditionalFormatting sqref="AB7">
    <cfRule type="cellIs" dxfId="58" priority="18" operator="equal">
      <formula>-1</formula>
    </cfRule>
  </conditionalFormatting>
  <conditionalFormatting sqref="AB7">
    <cfRule type="cellIs" dxfId="57" priority="17" operator="greaterThan">
      <formula>0</formula>
    </cfRule>
  </conditionalFormatting>
  <conditionalFormatting sqref="Y6">
    <cfRule type="cellIs" dxfId="56" priority="16" operator="equal">
      <formula>-1</formula>
    </cfRule>
  </conditionalFormatting>
  <conditionalFormatting sqref="Y6">
    <cfRule type="cellIs" dxfId="55" priority="15" operator="greaterThan">
      <formula>0</formula>
    </cfRule>
  </conditionalFormatting>
  <conditionalFormatting sqref="Y6">
    <cfRule type="cellIs" dxfId="54" priority="14" operator="equal">
      <formula>-1</formula>
    </cfRule>
  </conditionalFormatting>
  <conditionalFormatting sqref="AA5">
    <cfRule type="cellIs" dxfId="53" priority="13" operator="greaterThan">
      <formula>0</formula>
    </cfRule>
  </conditionalFormatting>
  <conditionalFormatting sqref="V6">
    <cfRule type="cellIs" dxfId="52" priority="12" operator="equal">
      <formula>-1</formula>
    </cfRule>
  </conditionalFormatting>
  <conditionalFormatting sqref="V6">
    <cfRule type="cellIs" dxfId="51" priority="11" operator="equal">
      <formula>-1</formula>
    </cfRule>
  </conditionalFormatting>
  <conditionalFormatting sqref="V6">
    <cfRule type="cellIs" dxfId="50" priority="10" operator="greaterThan">
      <formula>0</formula>
    </cfRule>
  </conditionalFormatting>
  <conditionalFormatting sqref="V6">
    <cfRule type="cellIs" dxfId="49" priority="9" operator="equal">
      <formula>-1</formula>
    </cfRule>
  </conditionalFormatting>
  <conditionalFormatting sqref="W5">
    <cfRule type="cellIs" dxfId="48" priority="8" operator="greaterThan">
      <formula>0</formula>
    </cfRule>
  </conditionalFormatting>
  <conditionalFormatting sqref="AA6">
    <cfRule type="cellIs" dxfId="47" priority="7" operator="equal">
      <formula>-1</formula>
    </cfRule>
  </conditionalFormatting>
  <conditionalFormatting sqref="AA6">
    <cfRule type="cellIs" dxfId="46" priority="6" operator="greaterThan">
      <formula>0</formula>
    </cfRule>
  </conditionalFormatting>
  <conditionalFormatting sqref="AA6">
    <cfRule type="cellIs" dxfId="45" priority="5" operator="equal">
      <formula>-1</formula>
    </cfRule>
  </conditionalFormatting>
  <conditionalFormatting sqref="AB6">
    <cfRule type="cellIs" dxfId="44" priority="4" operator="equal">
      <formula>-1</formula>
    </cfRule>
  </conditionalFormatting>
  <conditionalFormatting sqref="AB6">
    <cfRule type="cellIs" dxfId="43" priority="3" operator="greaterThan">
      <formula>0</formula>
    </cfRule>
  </conditionalFormatting>
  <conditionalFormatting sqref="AB6">
    <cfRule type="cellIs" dxfId="42" priority="2" operator="equal">
      <formula>-1</formula>
    </cfRule>
  </conditionalFormatting>
  <conditionalFormatting sqref="AB5">
    <cfRule type="cellIs" dxfId="41" priority="1" operator="greaterThan">
      <formula>0</formula>
    </cfRule>
  </conditionalFormatting>
  <hyperlinks>
    <hyperlink ref="Y11" location="'Beregn studieretning'!A1" display="'Beregn studieretning'!A1" xr:uid="{00000000-0004-0000-0300-000000000000}"/>
    <hyperlink ref="Y11:AB11" location="'Beregn stx'!A1" display="&gt;&gt; Tilbage til din studieretning &lt;&lt;" xr:uid="{00000000-0004-0000-0300-000001000000}"/>
    <hyperlink ref="A1" location="Index!A1" display="Home" xr:uid="{00000000-0004-0000-0300-000002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2">
    <tabColor theme="5" tint="-0.249977111117893"/>
  </sheetPr>
  <dimension ref="A1:Y305"/>
  <sheetViews>
    <sheetView topLeftCell="A122" workbookViewId="0">
      <selection activeCell="F179" sqref="F179"/>
    </sheetView>
  </sheetViews>
  <sheetFormatPr defaultRowHeight="15" x14ac:dyDescent="0.25"/>
  <cols>
    <col min="1" max="1" width="27.42578125" style="7" customWidth="1"/>
    <col min="2" max="3" width="4.7109375" style="18" customWidth="1"/>
    <col min="4" max="4" width="8.140625" style="18" customWidth="1"/>
    <col min="5" max="5" width="4.7109375" style="7" customWidth="1"/>
    <col min="6" max="6" width="27.7109375" style="8" customWidth="1"/>
    <col min="7" max="7" width="5.42578125" style="7" customWidth="1"/>
    <col min="8" max="8" width="8.7109375" bestFit="1" customWidth="1"/>
    <col min="9" max="9" width="22.7109375" bestFit="1" customWidth="1"/>
    <col min="10" max="10" width="17.28515625" customWidth="1"/>
    <col min="11" max="11" width="13.42578125" bestFit="1" customWidth="1"/>
    <col min="12" max="12" width="27.7109375" customWidth="1"/>
    <col min="13" max="13" width="4" customWidth="1"/>
    <col min="14" max="14" width="5.140625" customWidth="1"/>
    <col min="15" max="15" width="21.140625" customWidth="1"/>
    <col min="16" max="16" width="4.5703125" customWidth="1"/>
    <col min="17" max="17" width="4.85546875" customWidth="1"/>
    <col min="18" max="19" width="9.140625" customWidth="1"/>
  </cols>
  <sheetData>
    <row r="1" spans="1:20" ht="31.5" x14ac:dyDescent="0.25">
      <c r="A1" s="9" t="s">
        <v>46</v>
      </c>
      <c r="B1" s="20"/>
      <c r="C1" s="20"/>
      <c r="D1" s="20"/>
      <c r="T1" s="125"/>
    </row>
    <row r="2" spans="1:20" x14ac:dyDescent="0.25">
      <c r="T2" s="125"/>
    </row>
    <row r="3" spans="1:20" x14ac:dyDescent="0.25">
      <c r="T3" s="125"/>
    </row>
    <row r="4" spans="1:20" x14ac:dyDescent="0.25">
      <c r="A4" s="22" t="s">
        <v>13</v>
      </c>
      <c r="B4" s="21"/>
      <c r="C4" s="21"/>
      <c r="E4" s="7">
        <v>1</v>
      </c>
      <c r="F4" s="8" t="s">
        <v>11</v>
      </c>
      <c r="T4" s="125"/>
    </row>
    <row r="5" spans="1:20" x14ac:dyDescent="0.25">
      <c r="A5" s="14">
        <f>'Beregn stx'!C6</f>
        <v>1</v>
      </c>
      <c r="B5" s="14"/>
      <c r="C5" s="14"/>
      <c r="E5" s="7">
        <v>2</v>
      </c>
      <c r="F5" s="64" t="s">
        <v>145</v>
      </c>
      <c r="T5" s="125"/>
    </row>
    <row r="6" spans="1:20" x14ac:dyDescent="0.25">
      <c r="A6" s="23" t="str">
        <f>VLOOKUP('Data stx'!A5,'Data stx'!E4:H15,2,)</f>
        <v>VÆLG</v>
      </c>
      <c r="B6" s="15"/>
      <c r="C6" s="15"/>
      <c r="D6" s="17"/>
      <c r="E6" s="7">
        <v>3</v>
      </c>
      <c r="F6" s="64" t="s">
        <v>146</v>
      </c>
      <c r="T6" s="125"/>
    </row>
    <row r="7" spans="1:20" x14ac:dyDescent="0.25">
      <c r="E7" s="7">
        <v>4</v>
      </c>
      <c r="F7" s="64" t="s">
        <v>147</v>
      </c>
      <c r="T7" s="125"/>
    </row>
    <row r="8" spans="1:20" x14ac:dyDescent="0.25">
      <c r="E8" s="7">
        <v>5</v>
      </c>
      <c r="F8" s="64" t="s">
        <v>148</v>
      </c>
      <c r="I8" s="1"/>
      <c r="T8" s="125"/>
    </row>
    <row r="9" spans="1:20" x14ac:dyDescent="0.25">
      <c r="E9" s="7">
        <v>6</v>
      </c>
      <c r="F9" s="64" t="s">
        <v>149</v>
      </c>
      <c r="I9" s="1"/>
      <c r="T9" s="125"/>
    </row>
    <row r="10" spans="1:20" x14ac:dyDescent="0.25">
      <c r="E10" s="7">
        <v>7</v>
      </c>
      <c r="F10" s="64" t="s">
        <v>150</v>
      </c>
      <c r="I10" s="1"/>
      <c r="T10" s="125"/>
    </row>
    <row r="11" spans="1:20" x14ac:dyDescent="0.25">
      <c r="E11" s="7">
        <v>8</v>
      </c>
      <c r="F11" s="64" t="s">
        <v>151</v>
      </c>
      <c r="I11" s="1"/>
      <c r="T11" s="125"/>
    </row>
    <row r="12" spans="1:20" x14ac:dyDescent="0.25">
      <c r="E12" s="7">
        <v>9</v>
      </c>
      <c r="F12" s="64" t="s">
        <v>152</v>
      </c>
      <c r="I12" s="1"/>
      <c r="T12" s="125"/>
    </row>
    <row r="13" spans="1:20" x14ac:dyDescent="0.25">
      <c r="E13" s="7">
        <v>10</v>
      </c>
      <c r="F13" s="64" t="s">
        <v>153</v>
      </c>
      <c r="I13" s="1"/>
      <c r="T13" s="125"/>
    </row>
    <row r="14" spans="1:20" x14ac:dyDescent="0.25">
      <c r="E14" s="7">
        <v>11</v>
      </c>
      <c r="F14" s="64" t="s">
        <v>154</v>
      </c>
      <c r="I14" s="1"/>
      <c r="T14" s="125"/>
    </row>
    <row r="15" spans="1:20" x14ac:dyDescent="0.25">
      <c r="E15" s="7">
        <v>12</v>
      </c>
      <c r="F15" s="64" t="s">
        <v>155</v>
      </c>
    </row>
    <row r="16" spans="1:20" x14ac:dyDescent="0.25">
      <c r="F16" s="19"/>
    </row>
    <row r="17" spans="1:25" x14ac:dyDescent="0.25">
      <c r="F17" s="19"/>
      <c r="G17" s="6"/>
      <c r="H17" s="6"/>
      <c r="I17" s="6"/>
      <c r="J17" s="6"/>
      <c r="K17" s="6"/>
      <c r="L17" s="6"/>
      <c r="M17" s="6"/>
      <c r="N17" s="6"/>
      <c r="O17" s="6"/>
      <c r="P17" s="6"/>
      <c r="Q17" s="6"/>
      <c r="R17" s="6"/>
      <c r="T17" s="6"/>
      <c r="U17" s="6"/>
      <c r="V17" s="6"/>
    </row>
    <row r="18" spans="1:25" x14ac:dyDescent="0.25">
      <c r="A18" s="22" t="s">
        <v>15</v>
      </c>
      <c r="B18" s="22"/>
      <c r="C18" s="22"/>
      <c r="E18" s="7">
        <v>1</v>
      </c>
      <c r="F18" s="8" t="s">
        <v>20</v>
      </c>
      <c r="G18" s="7" t="s">
        <v>20</v>
      </c>
      <c r="H18">
        <v>0</v>
      </c>
      <c r="I18" t="s">
        <v>20</v>
      </c>
      <c r="J18" t="s">
        <v>20</v>
      </c>
      <c r="K18">
        <v>0</v>
      </c>
      <c r="L18" t="s">
        <v>20</v>
      </c>
      <c r="M18" t="s">
        <v>20</v>
      </c>
      <c r="N18">
        <v>0</v>
      </c>
      <c r="O18" s="6"/>
      <c r="P18" s="6"/>
      <c r="Q18" s="6"/>
      <c r="R18" s="6"/>
      <c r="T18" s="6"/>
      <c r="U18" s="6"/>
      <c r="V18" s="6"/>
    </row>
    <row r="19" spans="1:25" x14ac:dyDescent="0.25">
      <c r="A19" s="14" t="str">
        <f>'Beregn stx'!B10</f>
        <v xml:space="preserve"> </v>
      </c>
      <c r="B19" s="14" t="str">
        <f>'Beregn stx'!C10</f>
        <v xml:space="preserve"> </v>
      </c>
      <c r="C19" s="14">
        <f>'Beregn stx'!D10</f>
        <v>0</v>
      </c>
      <c r="D19" s="18">
        <v>1</v>
      </c>
      <c r="E19" s="7">
        <v>2</v>
      </c>
      <c r="F19" s="2" t="s">
        <v>3</v>
      </c>
      <c r="G19" s="2" t="s">
        <v>1</v>
      </c>
      <c r="H19" s="2">
        <v>125</v>
      </c>
      <c r="I19" s="2" t="s">
        <v>36</v>
      </c>
      <c r="J19" s="2" t="s">
        <v>6</v>
      </c>
      <c r="K19" s="2">
        <v>125</v>
      </c>
      <c r="L19" s="2" t="s">
        <v>38</v>
      </c>
      <c r="M19" s="2" t="s">
        <v>6</v>
      </c>
      <c r="N19" s="2">
        <v>200</v>
      </c>
      <c r="O19" s="2" t="s">
        <v>41</v>
      </c>
      <c r="P19" s="6">
        <f>SUM(H19:N19)</f>
        <v>450</v>
      </c>
      <c r="Q19" s="6"/>
      <c r="R19" s="6"/>
      <c r="T19" s="6"/>
      <c r="U19" s="6"/>
      <c r="V19" s="6"/>
    </row>
    <row r="20" spans="1:25" x14ac:dyDescent="0.25">
      <c r="A20" s="14" t="str">
        <f>'Beregn stx'!B11</f>
        <v xml:space="preserve"> </v>
      </c>
      <c r="B20" s="14" t="str">
        <f>'Beregn stx'!C11</f>
        <v xml:space="preserve"> </v>
      </c>
      <c r="C20" s="14">
        <f>'Beregn stx'!D11</f>
        <v>0</v>
      </c>
      <c r="D20" s="18">
        <v>2</v>
      </c>
      <c r="E20" s="7">
        <v>3</v>
      </c>
      <c r="F20" s="5" t="s">
        <v>3</v>
      </c>
      <c r="G20" s="5" t="s">
        <v>1</v>
      </c>
      <c r="H20" s="5">
        <v>125</v>
      </c>
      <c r="I20" s="175" t="s">
        <v>37</v>
      </c>
      <c r="J20" s="175" t="s">
        <v>1</v>
      </c>
      <c r="K20" s="175">
        <f>400</f>
        <v>400</v>
      </c>
      <c r="L20" s="5" t="s">
        <v>36</v>
      </c>
      <c r="M20" s="5" t="s">
        <v>6</v>
      </c>
      <c r="N20" s="5">
        <v>125</v>
      </c>
      <c r="O20" s="5" t="s">
        <v>41</v>
      </c>
      <c r="P20" s="6">
        <f>SUM(H20:N20)</f>
        <v>650</v>
      </c>
      <c r="Q20" s="6"/>
      <c r="R20" s="6"/>
      <c r="T20" s="6"/>
      <c r="U20" s="6"/>
      <c r="V20" s="6"/>
      <c r="W20" s="126"/>
    </row>
    <row r="21" spans="1:25" x14ac:dyDescent="0.25">
      <c r="A21" s="14" t="str">
        <f>'Beregn stx'!B12</f>
        <v xml:space="preserve"> </v>
      </c>
      <c r="B21" s="14" t="str">
        <f>'Beregn stx'!C12</f>
        <v xml:space="preserve"> </v>
      </c>
      <c r="C21" s="14" t="str">
        <f>'Beregn stx'!D12</f>
        <v xml:space="preserve"> </v>
      </c>
      <c r="D21" s="18">
        <v>3</v>
      </c>
      <c r="E21" s="7">
        <v>4</v>
      </c>
      <c r="F21" s="4" t="s">
        <v>39</v>
      </c>
      <c r="G21" s="4" t="s">
        <v>1</v>
      </c>
      <c r="H21" s="4">
        <f>325</f>
        <v>325</v>
      </c>
      <c r="I21" s="4" t="s">
        <v>38</v>
      </c>
      <c r="J21" s="4" t="s">
        <v>6</v>
      </c>
      <c r="K21" s="4">
        <v>200</v>
      </c>
      <c r="L21" s="4"/>
      <c r="M21" s="4"/>
      <c r="N21" s="4"/>
      <c r="O21" s="4" t="s">
        <v>41</v>
      </c>
      <c r="P21" s="6">
        <f>SUM(H21:N21)</f>
        <v>525</v>
      </c>
      <c r="Q21" s="6"/>
      <c r="R21" s="6"/>
      <c r="T21" s="6"/>
      <c r="U21" s="6"/>
      <c r="V21" s="6"/>
      <c r="Y21" s="126"/>
    </row>
    <row r="22" spans="1:25" x14ac:dyDescent="0.25">
      <c r="D22" s="18">
        <v>4</v>
      </c>
      <c r="E22" s="7">
        <v>5</v>
      </c>
      <c r="F22" s="3" t="s">
        <v>42</v>
      </c>
      <c r="G22" s="3" t="s">
        <v>1</v>
      </c>
      <c r="H22" s="3">
        <f>325-150</f>
        <v>175</v>
      </c>
      <c r="I22" s="3" t="s">
        <v>5</v>
      </c>
      <c r="J22" s="3" t="s">
        <v>1</v>
      </c>
      <c r="K22" s="3">
        <v>250</v>
      </c>
      <c r="L22" s="3" t="s">
        <v>3</v>
      </c>
      <c r="M22" s="3" t="s">
        <v>6</v>
      </c>
      <c r="N22" s="3">
        <v>0</v>
      </c>
      <c r="O22" s="3" t="s">
        <v>61</v>
      </c>
      <c r="P22" s="6">
        <f t="shared" ref="P22:P29" si="0">SUM(H22:N22)</f>
        <v>425</v>
      </c>
      <c r="Q22" s="6"/>
      <c r="R22" s="6"/>
      <c r="T22" s="6"/>
      <c r="U22" s="6"/>
      <c r="V22" s="6"/>
    </row>
    <row r="23" spans="1:25" x14ac:dyDescent="0.25">
      <c r="D23" s="18">
        <v>5</v>
      </c>
      <c r="E23" s="18">
        <v>6</v>
      </c>
      <c r="F23" s="2" t="s">
        <v>5</v>
      </c>
      <c r="G23" s="2" t="s">
        <v>1</v>
      </c>
      <c r="H23" s="2">
        <v>250</v>
      </c>
      <c r="I23" s="2" t="s">
        <v>3</v>
      </c>
      <c r="J23" s="2" t="s">
        <v>1</v>
      </c>
      <c r="K23" s="2">
        <v>125</v>
      </c>
      <c r="L23" s="2"/>
      <c r="M23" s="2"/>
      <c r="N23" s="2"/>
      <c r="O23" s="2" t="s">
        <v>61</v>
      </c>
      <c r="P23" s="6">
        <f t="shared" si="0"/>
        <v>375</v>
      </c>
      <c r="Q23" s="6"/>
      <c r="R23" s="6"/>
      <c r="T23" s="6"/>
      <c r="U23" s="6"/>
      <c r="V23" s="6"/>
    </row>
    <row r="24" spans="1:25" s="6" customFormat="1" x14ac:dyDescent="0.25">
      <c r="A24" s="18"/>
      <c r="B24" s="18"/>
      <c r="C24" s="18"/>
      <c r="D24" s="18">
        <v>6</v>
      </c>
      <c r="E24" s="7">
        <v>7</v>
      </c>
      <c r="F24" s="5" t="s">
        <v>5</v>
      </c>
      <c r="G24" s="5" t="s">
        <v>1</v>
      </c>
      <c r="H24" s="5">
        <v>250</v>
      </c>
      <c r="I24" s="5" t="s">
        <v>2</v>
      </c>
      <c r="J24" s="5" t="s">
        <v>1</v>
      </c>
      <c r="K24" s="5">
        <v>125</v>
      </c>
      <c r="L24" s="5"/>
      <c r="M24" s="5"/>
      <c r="N24" s="5"/>
      <c r="O24" s="5" t="s">
        <v>61</v>
      </c>
      <c r="P24" s="6">
        <f t="shared" si="0"/>
        <v>375</v>
      </c>
    </row>
    <row r="25" spans="1:25" s="6" customFormat="1" x14ac:dyDescent="0.25">
      <c r="A25" s="18"/>
      <c r="B25" s="18"/>
      <c r="C25" s="18"/>
      <c r="D25" s="18">
        <v>7</v>
      </c>
      <c r="E25" s="18">
        <v>8</v>
      </c>
      <c r="F25" s="4" t="s">
        <v>2</v>
      </c>
      <c r="G25" s="4" t="s">
        <v>1</v>
      </c>
      <c r="H25" s="4">
        <v>125</v>
      </c>
      <c r="I25" s="4" t="s">
        <v>5</v>
      </c>
      <c r="J25" s="4" t="s">
        <v>1</v>
      </c>
      <c r="K25" s="4">
        <v>250</v>
      </c>
      <c r="L25" s="4"/>
      <c r="M25" s="4"/>
      <c r="N25" s="4"/>
      <c r="O25" s="4" t="s">
        <v>61</v>
      </c>
      <c r="P25" s="6">
        <f t="shared" si="0"/>
        <v>375</v>
      </c>
    </row>
    <row r="26" spans="1:25" s="6" customFormat="1" x14ac:dyDescent="0.25">
      <c r="A26" s="18"/>
      <c r="B26" s="18"/>
      <c r="C26" s="18"/>
      <c r="D26" s="18">
        <v>8</v>
      </c>
      <c r="E26" s="7">
        <v>9</v>
      </c>
      <c r="F26" s="3" t="s">
        <v>2</v>
      </c>
      <c r="G26" s="3" t="s">
        <v>1</v>
      </c>
      <c r="H26" s="3">
        <v>125</v>
      </c>
      <c r="I26" s="3" t="s">
        <v>9</v>
      </c>
      <c r="J26" s="3" t="s">
        <v>1</v>
      </c>
      <c r="K26" s="175"/>
      <c r="L26" s="3" t="s">
        <v>8</v>
      </c>
      <c r="M26" s="3" t="s">
        <v>6</v>
      </c>
      <c r="N26" s="3">
        <v>200</v>
      </c>
      <c r="O26" s="3" t="s">
        <v>114</v>
      </c>
      <c r="P26" s="6">
        <f t="shared" si="0"/>
        <v>325</v>
      </c>
    </row>
    <row r="27" spans="1:25" s="6" customFormat="1" x14ac:dyDescent="0.25">
      <c r="A27" s="18"/>
      <c r="B27" s="18"/>
      <c r="C27" s="18"/>
      <c r="D27" s="18">
        <v>9</v>
      </c>
      <c r="E27" s="18">
        <v>10</v>
      </c>
      <c r="F27" s="2" t="s">
        <v>2</v>
      </c>
      <c r="G27" s="2" t="s">
        <v>1</v>
      </c>
      <c r="H27" s="2">
        <v>125</v>
      </c>
      <c r="I27" s="2" t="s">
        <v>8</v>
      </c>
      <c r="J27" s="2" t="s">
        <v>1</v>
      </c>
      <c r="K27" s="2">
        <v>125</v>
      </c>
      <c r="L27" s="2" t="s">
        <v>5</v>
      </c>
      <c r="M27" s="2" t="s">
        <v>6</v>
      </c>
      <c r="N27" s="2">
        <v>125</v>
      </c>
      <c r="O27" s="2" t="s">
        <v>114</v>
      </c>
      <c r="P27" s="6">
        <f t="shared" si="0"/>
        <v>375</v>
      </c>
    </row>
    <row r="28" spans="1:25" s="6" customFormat="1" x14ac:dyDescent="0.25">
      <c r="A28" s="18"/>
      <c r="B28" s="18"/>
      <c r="C28" s="18"/>
      <c r="D28" s="18">
        <v>10</v>
      </c>
      <c r="E28" s="7">
        <v>11</v>
      </c>
      <c r="F28" s="5" t="s">
        <v>2</v>
      </c>
      <c r="G28" s="5" t="s">
        <v>1</v>
      </c>
      <c r="H28" s="5">
        <v>125</v>
      </c>
      <c r="I28" s="5" t="s">
        <v>67</v>
      </c>
      <c r="J28" s="5" t="s">
        <v>1</v>
      </c>
      <c r="K28" s="175"/>
      <c r="L28" s="5" t="s">
        <v>5</v>
      </c>
      <c r="M28" s="5" t="s">
        <v>6</v>
      </c>
      <c r="N28" s="5">
        <v>125</v>
      </c>
      <c r="O28" s="5" t="s">
        <v>114</v>
      </c>
      <c r="P28" s="6">
        <f t="shared" si="0"/>
        <v>250</v>
      </c>
    </row>
    <row r="29" spans="1:25" s="6" customFormat="1" x14ac:dyDescent="0.25">
      <c r="A29" s="18"/>
      <c r="B29" s="18"/>
      <c r="C29" s="18"/>
      <c r="D29" s="18">
        <v>11</v>
      </c>
      <c r="E29" s="18">
        <v>12</v>
      </c>
      <c r="F29" s="4" t="s">
        <v>54</v>
      </c>
      <c r="G29" s="4" t="s">
        <v>1</v>
      </c>
      <c r="H29" s="4">
        <f>250+75</f>
        <v>325</v>
      </c>
      <c r="I29" s="4" t="s">
        <v>2</v>
      </c>
      <c r="J29" s="4" t="s">
        <v>1</v>
      </c>
      <c r="K29" s="4">
        <v>125</v>
      </c>
      <c r="L29" s="4"/>
      <c r="M29" s="4"/>
      <c r="N29" s="4"/>
      <c r="O29" s="4" t="s">
        <v>115</v>
      </c>
      <c r="P29" s="6">
        <f t="shared" si="0"/>
        <v>450</v>
      </c>
    </row>
    <row r="30" spans="1:25" x14ac:dyDescent="0.25">
      <c r="F30" s="6"/>
      <c r="G30" s="6"/>
      <c r="H30" s="6"/>
      <c r="I30" s="6"/>
      <c r="J30" s="6"/>
      <c r="K30" s="6"/>
      <c r="L30" s="6"/>
      <c r="M30" s="6"/>
      <c r="N30" s="6"/>
      <c r="O30" s="6"/>
      <c r="P30" s="6"/>
      <c r="Q30" s="6"/>
      <c r="R30" s="6"/>
      <c r="T30" s="6"/>
      <c r="U30" s="6"/>
      <c r="V30" s="6"/>
    </row>
    <row r="31" spans="1:25" x14ac:dyDescent="0.25">
      <c r="F31" s="6"/>
      <c r="G31" s="6"/>
      <c r="H31" s="6"/>
      <c r="I31" s="6"/>
      <c r="J31" s="6"/>
      <c r="K31" s="6"/>
      <c r="L31" s="6"/>
      <c r="M31" s="6"/>
      <c r="N31" s="6"/>
      <c r="O31" s="6"/>
      <c r="P31" s="6"/>
      <c r="Q31" s="6"/>
      <c r="R31" s="6"/>
      <c r="T31" s="6"/>
      <c r="U31" s="6"/>
      <c r="V31" s="6"/>
    </row>
    <row r="32" spans="1:25" x14ac:dyDescent="0.25">
      <c r="A32" s="22" t="s">
        <v>12</v>
      </c>
      <c r="B32" s="22"/>
      <c r="C32" s="22"/>
      <c r="E32" s="7">
        <v>1</v>
      </c>
      <c r="F32" s="8" t="s">
        <v>11</v>
      </c>
      <c r="G32" s="7" t="str">
        <f>IF(F32="","","")</f>
        <v/>
      </c>
      <c r="H32" s="7">
        <f>IF(G32="",0,"")</f>
        <v>0</v>
      </c>
      <c r="I32" s="6"/>
      <c r="J32" s="6"/>
      <c r="K32" s="6"/>
      <c r="L32" s="6"/>
      <c r="M32" s="6"/>
      <c r="N32" s="6"/>
      <c r="O32" s="6"/>
      <c r="P32" s="6"/>
      <c r="Q32" s="6"/>
      <c r="R32" s="6"/>
      <c r="T32" s="6"/>
      <c r="U32" s="6"/>
      <c r="V32" s="6"/>
    </row>
    <row r="33" spans="1:23" x14ac:dyDescent="0.25">
      <c r="A33" s="14">
        <f>'Beregn stx'!C15</f>
        <v>1</v>
      </c>
      <c r="B33" s="14"/>
      <c r="C33" s="14"/>
      <c r="E33" s="7">
        <v>2</v>
      </c>
      <c r="F33" s="8" t="str">
        <f>IF(OR($A$5=E26,E26=$A$5,$A$5=E27),"",I33)</f>
        <v>Fransk</v>
      </c>
      <c r="G33" s="7" t="str">
        <f>IF(F33="","","A")</f>
        <v>A</v>
      </c>
      <c r="H33" s="7">
        <f>IF(F33="",0,325)</f>
        <v>325</v>
      </c>
      <c r="I33" s="19" t="s">
        <v>67</v>
      </c>
      <c r="J33" s="6"/>
      <c r="K33" s="6"/>
      <c r="L33" s="1"/>
      <c r="M33" s="6"/>
      <c r="N33" s="6"/>
      <c r="O33" s="6"/>
      <c r="P33" s="6"/>
      <c r="Q33" s="6"/>
      <c r="R33" s="6"/>
      <c r="T33" s="6"/>
      <c r="U33" s="6"/>
      <c r="V33" s="6"/>
    </row>
    <row r="34" spans="1:23" x14ac:dyDescent="0.25">
      <c r="A34" s="23" t="str">
        <f>VLOOKUP('Data stx'!A33,'Data stx'!E32:H38,2,)</f>
        <v>VÆLG</v>
      </c>
      <c r="B34" s="23" t="str">
        <f>'Beregn stx'!C17</f>
        <v/>
      </c>
      <c r="C34" s="23">
        <f>'Beregn stx'!D17</f>
        <v>0</v>
      </c>
      <c r="D34" s="17"/>
      <c r="E34" s="7">
        <v>3</v>
      </c>
      <c r="F34" s="8" t="str">
        <f>IF(OR($A$5=E26,E27=$A$5,$A$5=E28),"",I34)</f>
        <v>Fransk F</v>
      </c>
      <c r="G34" s="7" t="s">
        <v>6</v>
      </c>
      <c r="H34" s="7">
        <f>IF(F34="",0,200)</f>
        <v>200</v>
      </c>
      <c r="I34" s="19" t="s">
        <v>68</v>
      </c>
      <c r="J34" s="6"/>
      <c r="K34" s="6"/>
      <c r="L34" s="1"/>
      <c r="M34" s="6"/>
      <c r="N34" s="6"/>
      <c r="O34" s="6"/>
      <c r="P34" s="6"/>
      <c r="Q34" s="6"/>
      <c r="R34" s="6"/>
      <c r="T34" s="6"/>
      <c r="U34" s="6"/>
      <c r="V34" s="6"/>
    </row>
    <row r="35" spans="1:23" x14ac:dyDescent="0.25">
      <c r="E35" s="7">
        <v>4</v>
      </c>
      <c r="F35" s="8" t="str">
        <f>IF(OR($A$5=E27,E28=$A$5,$A$5=E26),"",I35)</f>
        <v>Italiensk</v>
      </c>
      <c r="G35" s="6" t="s">
        <v>1</v>
      </c>
      <c r="H35" s="7">
        <f>IF(F35="",0,325)</f>
        <v>325</v>
      </c>
      <c r="I35" s="19" t="s">
        <v>113</v>
      </c>
      <c r="J35" s="6"/>
      <c r="K35" s="6"/>
      <c r="L35" s="6"/>
      <c r="M35" s="6"/>
      <c r="N35" s="6"/>
      <c r="O35" s="6"/>
      <c r="P35" s="6"/>
      <c r="Q35" s="6"/>
      <c r="R35" s="6"/>
      <c r="T35" s="6"/>
      <c r="U35" s="6"/>
      <c r="V35" s="6"/>
      <c r="W35" s="6"/>
    </row>
    <row r="36" spans="1:23" x14ac:dyDescent="0.25">
      <c r="E36" s="7">
        <v>5</v>
      </c>
      <c r="F36" s="8" t="str">
        <f>IF(OR($A$5=E28,E26=$A$5,$A$5=E27),"",I36)</f>
        <v>Kinesisk</v>
      </c>
      <c r="G36" s="6" t="s">
        <v>1</v>
      </c>
      <c r="H36" s="7">
        <f>IF(F36="",0,325)</f>
        <v>325</v>
      </c>
      <c r="I36" s="19" t="s">
        <v>112</v>
      </c>
      <c r="J36" s="6"/>
      <c r="K36" s="6"/>
      <c r="L36" s="6"/>
      <c r="M36" s="6"/>
      <c r="N36" s="6"/>
      <c r="O36" s="6"/>
      <c r="P36" s="6"/>
      <c r="Q36" s="6"/>
      <c r="R36" s="6"/>
      <c r="T36" s="6"/>
      <c r="U36" s="6"/>
      <c r="V36" s="6"/>
    </row>
    <row r="37" spans="1:23" x14ac:dyDescent="0.25">
      <c r="E37" s="7">
        <v>6</v>
      </c>
      <c r="F37" s="8" t="str">
        <f>IF(OR($A$5=E28,E27=$A$5,$A$5=E28)," ",I37)</f>
        <v>Spansk</v>
      </c>
      <c r="G37" s="18" t="s">
        <v>1</v>
      </c>
      <c r="H37" s="7">
        <f>IF(F37=" ",0,325)</f>
        <v>325</v>
      </c>
      <c r="I37" s="19" t="s">
        <v>9</v>
      </c>
      <c r="J37" s="6"/>
      <c r="K37" s="6"/>
      <c r="L37" s="6"/>
      <c r="M37" s="6"/>
      <c r="N37" s="6"/>
      <c r="O37" s="6"/>
      <c r="P37" s="6"/>
      <c r="Q37" s="6"/>
      <c r="R37" s="6"/>
      <c r="T37" s="6"/>
      <c r="U37" s="6"/>
      <c r="V37" s="6"/>
    </row>
    <row r="38" spans="1:23" x14ac:dyDescent="0.25">
      <c r="E38" s="7">
        <v>7</v>
      </c>
      <c r="F38" s="8" t="str">
        <f>IF(OR($A$5=E28,E26=$A$5,$A$5=E28),"",I38)</f>
        <v>Tysk</v>
      </c>
      <c r="G38" s="6" t="s">
        <v>6</v>
      </c>
      <c r="H38" s="7">
        <f>IF(F38="",0,200)</f>
        <v>200</v>
      </c>
      <c r="I38" s="19" t="s">
        <v>8</v>
      </c>
      <c r="J38" s="6"/>
      <c r="K38" s="6"/>
      <c r="L38" s="6"/>
      <c r="M38" s="6"/>
      <c r="N38" s="6"/>
      <c r="O38" s="6"/>
      <c r="P38" s="6"/>
      <c r="Q38" s="6"/>
      <c r="R38" s="6"/>
      <c r="T38" s="6"/>
      <c r="U38" s="6"/>
      <c r="V38" s="6"/>
    </row>
    <row r="39" spans="1:23" x14ac:dyDescent="0.25">
      <c r="G39" s="6"/>
      <c r="H39" s="7"/>
      <c r="I39" s="19"/>
      <c r="J39" s="6"/>
      <c r="K39" s="6"/>
      <c r="L39" s="6"/>
      <c r="M39" s="6"/>
      <c r="N39" s="6"/>
      <c r="O39" s="6"/>
      <c r="P39" s="6"/>
      <c r="Q39" s="6"/>
      <c r="R39" s="6"/>
      <c r="T39" s="6"/>
      <c r="U39" s="6"/>
      <c r="V39" s="6"/>
    </row>
    <row r="40" spans="1:23" x14ac:dyDescent="0.25">
      <c r="G40" s="6"/>
      <c r="H40" s="7"/>
      <c r="I40" s="19"/>
      <c r="J40" s="324" t="s">
        <v>130</v>
      </c>
      <c r="K40" s="6"/>
      <c r="L40" s="6"/>
      <c r="M40" s="6"/>
      <c r="N40" s="6"/>
      <c r="O40" s="6"/>
      <c r="P40" s="6"/>
      <c r="Q40" s="6"/>
      <c r="R40" s="6"/>
      <c r="T40" s="6"/>
      <c r="U40" s="6"/>
      <c r="V40" s="6"/>
    </row>
    <row r="41" spans="1:23" x14ac:dyDescent="0.25">
      <c r="A41" s="22" t="s">
        <v>166</v>
      </c>
      <c r="B41" s="22"/>
      <c r="C41" s="22"/>
      <c r="E41" s="7">
        <v>1</v>
      </c>
      <c r="F41" s="8" t="s">
        <v>11</v>
      </c>
      <c r="G41" s="7" t="str">
        <f>IF(F41="","","")</f>
        <v/>
      </c>
      <c r="H41" s="7">
        <f>IF(G41="",0,"")</f>
        <v>0</v>
      </c>
      <c r="I41" s="6"/>
      <c r="J41" s="365" t="str">
        <f>IF(OR($A$5=$E$20,A5=E21),"",F41&amp;" "&amp;G41)</f>
        <v xml:space="preserve">VÆLG </v>
      </c>
      <c r="K41" s="6"/>
      <c r="L41" s="6"/>
      <c r="M41" s="6"/>
      <c r="N41" s="6"/>
      <c r="O41" s="6"/>
      <c r="P41" s="6"/>
      <c r="Q41" s="6"/>
      <c r="R41" s="6"/>
    </row>
    <row r="42" spans="1:23" x14ac:dyDescent="0.25">
      <c r="A42" s="14">
        <f>'Beregn stx'!E20</f>
        <v>1</v>
      </c>
      <c r="B42" s="14"/>
      <c r="C42" s="14"/>
      <c r="E42" s="7">
        <v>2</v>
      </c>
      <c r="F42" s="8" t="str">
        <f>IF(OR($A$5=$E$20,$A$5=$E$21),"",I42)</f>
        <v>Biologi</v>
      </c>
      <c r="G42" s="7" t="str">
        <f>IF(F42="","","C")</f>
        <v>C</v>
      </c>
      <c r="H42" s="7">
        <f>IF(F42="",0,75)</f>
        <v>75</v>
      </c>
      <c r="I42" s="19" t="s">
        <v>39</v>
      </c>
      <c r="J42" s="365" t="str">
        <f t="shared" ref="J42:J46" si="1">F42&amp;" "&amp;G42</f>
        <v>Biologi C</v>
      </c>
      <c r="K42" s="6"/>
      <c r="L42" s="6"/>
      <c r="M42" s="6"/>
      <c r="N42" s="6"/>
      <c r="O42" s="6"/>
      <c r="P42" s="6"/>
      <c r="Q42" s="6"/>
      <c r="R42" s="6"/>
    </row>
    <row r="43" spans="1:23" x14ac:dyDescent="0.25">
      <c r="A43" s="23" t="str">
        <f>VLOOKUP('Data stx'!A42,'Data stx'!E41:H46,2,)</f>
        <v>VÆLG</v>
      </c>
      <c r="B43" s="23" t="str">
        <f>'Beregn stx'!G20</f>
        <v/>
      </c>
      <c r="C43" s="23">
        <f>'Beregn stx'!H20</f>
        <v>0</v>
      </c>
      <c r="D43" s="17"/>
      <c r="E43" s="7">
        <v>3</v>
      </c>
      <c r="F43" s="8" t="str">
        <f>IF(OR($A$5=$E$20,$A$5=$E$21),"",I43)</f>
        <v>Informatik</v>
      </c>
      <c r="G43" s="7" t="str">
        <f>IF(F43="","","C")</f>
        <v>C</v>
      </c>
      <c r="H43" s="7">
        <f>IF(F43="",0,75)</f>
        <v>75</v>
      </c>
      <c r="I43" s="19" t="s">
        <v>59</v>
      </c>
      <c r="J43" s="365" t="str">
        <f t="shared" si="1"/>
        <v>Informatik C</v>
      </c>
      <c r="K43" s="6"/>
      <c r="L43" s="6"/>
      <c r="M43" s="6"/>
      <c r="N43" s="6"/>
      <c r="O43" s="6"/>
      <c r="P43" s="6"/>
      <c r="Q43" s="6"/>
      <c r="R43" s="6"/>
    </row>
    <row r="44" spans="1:23" x14ac:dyDescent="0.25">
      <c r="E44" s="7">
        <v>4</v>
      </c>
      <c r="F44" s="8" t="str">
        <f>IF(OR($A$5=$E$20,$A$5=$E$21,$A$5=$E$19),"",I44)</f>
        <v>Kemi</v>
      </c>
      <c r="G44" s="7" t="str">
        <f>IF(F44="","","C")</f>
        <v>C</v>
      </c>
      <c r="H44" s="7">
        <f>IF(F44="",0,75)</f>
        <v>75</v>
      </c>
      <c r="I44" s="19" t="s">
        <v>38</v>
      </c>
      <c r="J44" s="365" t="str">
        <f t="shared" si="1"/>
        <v>Kemi C</v>
      </c>
      <c r="K44" s="6"/>
      <c r="L44" s="6"/>
      <c r="M44" s="6"/>
      <c r="N44" s="6"/>
      <c r="O44" s="6"/>
      <c r="P44" s="6"/>
      <c r="Q44" s="6"/>
      <c r="R44" s="6"/>
    </row>
    <row r="45" spans="1:23" x14ac:dyDescent="0.25">
      <c r="E45" s="7">
        <v>5</v>
      </c>
      <c r="F45" s="8" t="str">
        <f>IF(OR($A$5=E20,E19=$A$5,$A$5=E21),"",I45)</f>
        <v>Latin</v>
      </c>
      <c r="G45" s="7" t="str">
        <f>IF(F45="","","C")</f>
        <v>C</v>
      </c>
      <c r="H45" s="7">
        <f>IF(F45="",0,75)</f>
        <v>75</v>
      </c>
      <c r="I45" s="19" t="s">
        <v>81</v>
      </c>
      <c r="J45" s="365" t="str">
        <f t="shared" si="1"/>
        <v>Latin C</v>
      </c>
      <c r="K45" s="6"/>
      <c r="L45" s="6"/>
      <c r="M45" s="6"/>
      <c r="N45" s="6"/>
      <c r="O45" s="6"/>
      <c r="P45" s="6"/>
      <c r="Q45" s="6"/>
      <c r="R45" s="6"/>
    </row>
    <row r="46" spans="1:23" x14ac:dyDescent="0.25">
      <c r="E46" s="7">
        <v>6</v>
      </c>
      <c r="F46" s="8" t="str">
        <f>IF(OR($A$5=E20,$A$5=E21),"",I46)</f>
        <v>Naturgeografi</v>
      </c>
      <c r="G46" s="7" t="str">
        <f>IF(F46="","","C")</f>
        <v>C</v>
      </c>
      <c r="H46" s="7">
        <f>IF(F46="",0,75)</f>
        <v>75</v>
      </c>
      <c r="I46" s="19" t="s">
        <v>52</v>
      </c>
      <c r="J46" s="365" t="str">
        <f t="shared" si="1"/>
        <v>Naturgeografi C</v>
      </c>
      <c r="K46" s="6"/>
      <c r="L46" s="6"/>
      <c r="M46" s="6"/>
      <c r="N46" s="6"/>
      <c r="O46" s="6"/>
      <c r="P46" s="6"/>
      <c r="Q46" s="6"/>
      <c r="R46" s="6"/>
    </row>
    <row r="47" spans="1:23" x14ac:dyDescent="0.25">
      <c r="H47" s="7"/>
      <c r="I47" s="19"/>
      <c r="J47" s="6"/>
      <c r="K47" s="6"/>
      <c r="L47" s="6"/>
      <c r="M47" s="6"/>
      <c r="N47" s="6"/>
      <c r="O47" s="6"/>
      <c r="P47" s="6"/>
      <c r="Q47" s="6"/>
      <c r="R47" s="6"/>
    </row>
    <row r="48" spans="1:23" x14ac:dyDescent="0.25">
      <c r="G48" s="6"/>
      <c r="H48" s="7"/>
      <c r="I48" s="19"/>
      <c r="J48" s="6"/>
      <c r="K48" s="6"/>
      <c r="L48" s="6"/>
      <c r="M48" s="6"/>
      <c r="N48" s="6"/>
      <c r="O48" s="6"/>
      <c r="P48" s="6"/>
      <c r="Q48" s="6"/>
      <c r="R48" s="6"/>
    </row>
    <row r="49" spans="1:18" x14ac:dyDescent="0.25">
      <c r="A49" s="22" t="s">
        <v>167</v>
      </c>
      <c r="B49" s="22"/>
      <c r="C49" s="22"/>
      <c r="E49" s="7">
        <v>1</v>
      </c>
      <c r="F49" s="8" t="s">
        <v>11</v>
      </c>
      <c r="G49" s="7" t="str">
        <f>IF(F49="","","")</f>
        <v/>
      </c>
      <c r="H49" s="7">
        <f>IF(G49="",0,"")</f>
        <v>0</v>
      </c>
      <c r="I49" s="6"/>
      <c r="J49" s="365" t="str">
        <f>IF(OR($A$5=$E$19,$A$5=$E$20,$A$5=$E$21),"",F49&amp;" "&amp;G49)</f>
        <v xml:space="preserve">VÆLG </v>
      </c>
      <c r="K49" s="6"/>
      <c r="L49" s="6"/>
      <c r="M49" s="6"/>
      <c r="N49" s="6"/>
      <c r="O49" s="6"/>
      <c r="P49" s="6"/>
      <c r="Q49" s="6"/>
      <c r="R49" s="6"/>
    </row>
    <row r="50" spans="1:18" x14ac:dyDescent="0.25">
      <c r="A50" s="14">
        <f>'Beregn stx'!E22</f>
        <v>1</v>
      </c>
      <c r="B50" s="14"/>
      <c r="C50" s="14"/>
      <c r="E50" s="7">
        <v>2</v>
      </c>
      <c r="F50" s="8" t="str">
        <f>IF(OR(F42="",$A$42=E42,$A$5=$E$19),"",I50)</f>
        <v>Biologi</v>
      </c>
      <c r="G50" s="7" t="str">
        <f>IF(F50="","","C")</f>
        <v>C</v>
      </c>
      <c r="H50" s="7">
        <f>IF(F50="",0,75)</f>
        <v>75</v>
      </c>
      <c r="I50" s="19" t="s">
        <v>39</v>
      </c>
      <c r="J50" s="365" t="str">
        <f t="shared" ref="J50:J66" si="2">F50&amp;" "&amp;G50</f>
        <v>Biologi C</v>
      </c>
      <c r="K50" s="6"/>
      <c r="L50" s="6"/>
      <c r="M50" s="6"/>
      <c r="N50" s="6"/>
      <c r="O50" s="6"/>
      <c r="P50" s="6"/>
      <c r="Q50" s="6"/>
      <c r="R50" s="6"/>
    </row>
    <row r="51" spans="1:18" x14ac:dyDescent="0.25">
      <c r="A51" s="23" t="str">
        <f>VLOOKUP('Data stx'!A50,'Data stx'!E49:H58,2,)</f>
        <v>VÆLG</v>
      </c>
      <c r="B51" s="23" t="str">
        <f>'Beregn stx'!G22</f>
        <v/>
      </c>
      <c r="C51" s="23">
        <f>'Beregn stx'!H22</f>
        <v>0</v>
      </c>
      <c r="D51" s="17"/>
      <c r="E51" s="7">
        <v>3</v>
      </c>
      <c r="F51" s="8" t="str">
        <f>IF(OR(F43="",$A$42=E43,$A$5=$E$19),"",I51)</f>
        <v>Informatik</v>
      </c>
      <c r="G51" s="7" t="str">
        <f>IF(F51="","","C")</f>
        <v>C</v>
      </c>
      <c r="H51" s="7">
        <f>IF(F51="",0,75)</f>
        <v>75</v>
      </c>
      <c r="I51" s="19" t="s">
        <v>59</v>
      </c>
      <c r="J51" s="365" t="str">
        <f t="shared" si="2"/>
        <v>Informatik C</v>
      </c>
      <c r="K51" s="6"/>
      <c r="L51" s="6"/>
      <c r="M51" s="6"/>
      <c r="N51" s="6"/>
      <c r="O51" s="6"/>
      <c r="P51" s="6"/>
      <c r="Q51" s="6"/>
      <c r="R51" s="6"/>
    </row>
    <row r="52" spans="1:18" x14ac:dyDescent="0.25">
      <c r="E52" s="7">
        <v>4</v>
      </c>
      <c r="F52" s="8" t="str">
        <f>IF(OR(F44="",$A$42=E44,$A$5=$E$19),"",I52)</f>
        <v>Kemi</v>
      </c>
      <c r="G52" s="7" t="str">
        <f>IF(F52="","","C")</f>
        <v>C</v>
      </c>
      <c r="H52" s="7">
        <f>IF(F52="",0,75)</f>
        <v>75</v>
      </c>
      <c r="I52" s="19" t="s">
        <v>38</v>
      </c>
      <c r="J52" s="365" t="str">
        <f t="shared" si="2"/>
        <v>Kemi C</v>
      </c>
      <c r="K52" s="6"/>
      <c r="L52" s="6"/>
      <c r="M52" s="6"/>
      <c r="N52" s="6"/>
      <c r="O52" s="6"/>
      <c r="P52" s="6"/>
      <c r="Q52" s="6"/>
      <c r="R52" s="6"/>
    </row>
    <row r="53" spans="1:18" x14ac:dyDescent="0.25">
      <c r="E53" s="7">
        <v>5</v>
      </c>
      <c r="F53" s="8" t="str">
        <f>IF(OR(F45="",$A$42=E45,$A$5=$E$19,A86=I45),"",I53)</f>
        <v>Latin</v>
      </c>
      <c r="G53" s="7" t="str">
        <f>IF(F53="","","C")</f>
        <v>C</v>
      </c>
      <c r="H53" s="7">
        <f>IF(F53="",0,75)</f>
        <v>75</v>
      </c>
      <c r="I53" s="19" t="s">
        <v>81</v>
      </c>
      <c r="J53" s="365" t="str">
        <f t="shared" si="2"/>
        <v>Latin C</v>
      </c>
      <c r="K53" s="6"/>
      <c r="L53" s="6"/>
      <c r="M53" s="6"/>
      <c r="N53" s="6"/>
      <c r="O53" s="6"/>
      <c r="P53" s="6"/>
      <c r="Q53" s="6"/>
      <c r="R53" s="6"/>
    </row>
    <row r="54" spans="1:18" x14ac:dyDescent="0.25">
      <c r="E54" s="7">
        <v>6</v>
      </c>
      <c r="F54" s="8" t="str">
        <f>IF(OR(F46="",$A$42=E46,$A$5=$E$19),"",I54)</f>
        <v>Naturgeografi</v>
      </c>
      <c r="G54" s="7" t="str">
        <f>IF(F54="","","C")</f>
        <v>C</v>
      </c>
      <c r="H54" s="7">
        <f>IF(F54="",0,75)</f>
        <v>75</v>
      </c>
      <c r="I54" s="19" t="s">
        <v>52</v>
      </c>
      <c r="J54" s="365" t="str">
        <f t="shared" si="2"/>
        <v>Naturgeografi C</v>
      </c>
      <c r="K54" s="6"/>
      <c r="L54" s="6"/>
      <c r="M54" s="6"/>
      <c r="N54" s="6"/>
      <c r="O54" s="6"/>
      <c r="P54" s="6"/>
      <c r="Q54" s="6"/>
      <c r="R54" s="6"/>
    </row>
    <row r="55" spans="1:18" x14ac:dyDescent="0.25">
      <c r="E55" s="7">
        <v>7</v>
      </c>
      <c r="F55" s="8" t="str">
        <f>IF(OR($A$5=$E$19,$A$5=$E$20,$A$5=$E$21),"",IF(OR($A$42=E42),I55,""))</f>
        <v/>
      </c>
      <c r="G55" s="7" t="str">
        <f>IF(F55="","","B")</f>
        <v/>
      </c>
      <c r="H55" s="7">
        <f>IF(F55="",0,125)</f>
        <v>0</v>
      </c>
      <c r="I55" s="19" t="s">
        <v>39</v>
      </c>
      <c r="J55" s="175" t="str">
        <f t="shared" si="2"/>
        <v xml:space="preserve"> </v>
      </c>
      <c r="K55" s="6"/>
      <c r="L55" s="6"/>
      <c r="M55" s="6"/>
      <c r="N55" s="6"/>
      <c r="O55" s="6"/>
      <c r="P55" s="6"/>
      <c r="Q55" s="6"/>
      <c r="R55" s="6"/>
    </row>
    <row r="56" spans="1:18" x14ac:dyDescent="0.25">
      <c r="E56" s="7">
        <v>8</v>
      </c>
      <c r="F56" s="8" t="str">
        <f>IF(OR(A5=E21,A5=E20,$A$5=$E$19),"",IF(OR($A$42=E43),I56,""))</f>
        <v/>
      </c>
      <c r="G56" s="7" t="str">
        <f>IF(F56="","","B")</f>
        <v/>
      </c>
      <c r="H56" s="7">
        <f>IF(F56="",0,125)</f>
        <v>0</v>
      </c>
      <c r="I56" s="19" t="s">
        <v>59</v>
      </c>
      <c r="J56" s="175" t="str">
        <f t="shared" si="2"/>
        <v xml:space="preserve"> </v>
      </c>
      <c r="K56" s="6"/>
      <c r="L56" s="6"/>
      <c r="M56" s="6"/>
      <c r="N56" s="6"/>
      <c r="O56" s="6"/>
      <c r="P56" s="6"/>
      <c r="Q56" s="6"/>
      <c r="R56" s="6"/>
    </row>
    <row r="57" spans="1:18" x14ac:dyDescent="0.25">
      <c r="E57" s="7">
        <v>9</v>
      </c>
      <c r="F57" s="8" t="str">
        <f>IF(OR($A$5=$E$19,$A$5=$E$20,$A$5=$E$21),"",IF(OR($A$42=E44),I57,""))</f>
        <v/>
      </c>
      <c r="G57" s="7" t="str">
        <f>IF(F57="","","B")</f>
        <v/>
      </c>
      <c r="H57" s="7">
        <f>IF(F57="",0,125)</f>
        <v>0</v>
      </c>
      <c r="I57" s="19" t="s">
        <v>38</v>
      </c>
      <c r="J57" s="175" t="str">
        <f t="shared" si="2"/>
        <v xml:space="preserve"> </v>
      </c>
      <c r="K57" s="6"/>
      <c r="L57" s="6"/>
      <c r="M57" s="6"/>
      <c r="N57" s="6"/>
      <c r="O57" s="6"/>
      <c r="P57" s="6"/>
      <c r="Q57" s="6"/>
      <c r="R57" s="6"/>
    </row>
    <row r="58" spans="1:18" x14ac:dyDescent="0.25">
      <c r="E58" s="7">
        <v>10</v>
      </c>
      <c r="F58" s="8" t="str">
        <f>IF(OR($A$5=$E$19,$A$5=$E$21,$A$5=$E$20),"",IF(OR($A$42=E46),I58,""))</f>
        <v/>
      </c>
      <c r="G58" s="7" t="str">
        <f>IF(F58="","","B")</f>
        <v/>
      </c>
      <c r="H58" s="7">
        <f>IF(F58="",0,125)</f>
        <v>0</v>
      </c>
      <c r="I58" s="19" t="s">
        <v>52</v>
      </c>
      <c r="J58" s="175" t="str">
        <f t="shared" si="2"/>
        <v xml:space="preserve"> </v>
      </c>
      <c r="K58" s="6"/>
      <c r="L58" s="6"/>
      <c r="M58" s="6"/>
      <c r="N58" s="6"/>
      <c r="O58" s="6"/>
      <c r="P58" s="6"/>
      <c r="Q58" s="6"/>
      <c r="R58" s="6"/>
    </row>
    <row r="59" spans="1:18" x14ac:dyDescent="0.25">
      <c r="H59" s="7"/>
      <c r="J59" s="6" t="str">
        <f t="shared" si="2"/>
        <v xml:space="preserve"> </v>
      </c>
      <c r="K59" s="6"/>
      <c r="L59" s="6"/>
      <c r="M59" s="6"/>
      <c r="N59" s="6"/>
      <c r="O59" s="6"/>
      <c r="P59" s="6"/>
      <c r="Q59" s="6"/>
      <c r="R59" s="6"/>
    </row>
    <row r="60" spans="1:18" x14ac:dyDescent="0.25">
      <c r="H60" s="7"/>
      <c r="I60" s="19"/>
      <c r="J60" s="6" t="str">
        <f t="shared" si="2"/>
        <v xml:space="preserve"> </v>
      </c>
      <c r="K60" s="6"/>
      <c r="L60" s="6"/>
      <c r="M60" s="6"/>
      <c r="N60" s="6"/>
      <c r="O60" s="6"/>
      <c r="P60" s="6"/>
      <c r="Q60" s="6"/>
      <c r="R60" s="6"/>
    </row>
    <row r="61" spans="1:18" x14ac:dyDescent="0.25">
      <c r="A61" s="22" t="s">
        <v>169</v>
      </c>
      <c r="B61" s="22"/>
      <c r="C61" s="22"/>
      <c r="E61" s="7">
        <v>1</v>
      </c>
      <c r="F61" s="8" t="s">
        <v>11</v>
      </c>
      <c r="G61" s="7" t="str">
        <f>IF(F61="","","")</f>
        <v/>
      </c>
      <c r="H61" s="7">
        <f>IF(G61="",0,"")</f>
        <v>0</v>
      </c>
      <c r="I61" s="19"/>
      <c r="J61" s="365" t="str">
        <f>IF(OR($A$5=$E$20,$A$5=$E$21,$A$5=$E$26),"",F61&amp;" "&amp;G61)</f>
        <v xml:space="preserve">VÆLG </v>
      </c>
      <c r="K61" s="6"/>
      <c r="L61" s="6"/>
      <c r="M61" s="6"/>
      <c r="N61" s="6"/>
      <c r="O61" s="6"/>
      <c r="P61" s="6"/>
      <c r="Q61" s="6"/>
      <c r="R61" s="6"/>
    </row>
    <row r="62" spans="1:18" x14ac:dyDescent="0.25">
      <c r="A62" s="14">
        <f>'Beregn stx'!E24</f>
        <v>1</v>
      </c>
      <c r="B62" s="14"/>
      <c r="C62" s="14"/>
      <c r="E62" s="7">
        <v>2</v>
      </c>
      <c r="F62" s="8" t="str">
        <f>IF(OR(AND(C51=75,$A$50=E50),$A$42=E42,F42="",$A$5=$E$26),"",I50)</f>
        <v>Biologi</v>
      </c>
      <c r="G62" s="7" t="str">
        <f>IF(F62="","","C")</f>
        <v>C</v>
      </c>
      <c r="H62" s="7">
        <f>IF(F62="",0,75)</f>
        <v>75</v>
      </c>
      <c r="I62" s="19" t="str">
        <f t="shared" ref="I62:I67" si="3">I50</f>
        <v>Biologi</v>
      </c>
      <c r="J62" s="365" t="str">
        <f t="shared" si="2"/>
        <v>Biologi C</v>
      </c>
      <c r="K62" s="6"/>
      <c r="L62" s="6"/>
      <c r="M62" s="6"/>
      <c r="N62" s="6"/>
      <c r="O62" s="6"/>
      <c r="P62" s="6"/>
      <c r="Q62" s="6"/>
      <c r="R62" s="6"/>
    </row>
    <row r="63" spans="1:18" x14ac:dyDescent="0.25">
      <c r="A63" s="23" t="str">
        <f>VLOOKUP('Data stx'!A62,'Data stx'!E61:H74,2,)</f>
        <v>VÆLG</v>
      </c>
      <c r="B63" s="23" t="str">
        <f>'Beregn stx'!G24</f>
        <v/>
      </c>
      <c r="C63" s="23">
        <f>'Beregn stx'!H24</f>
        <v>0</v>
      </c>
      <c r="E63" s="7">
        <v>3</v>
      </c>
      <c r="F63" s="8" t="str">
        <f>IF(OR(AND(C51=75,$A$50=E51),$A$42=E43,F43="",$A$5=$E$26),"",I51)</f>
        <v>Informatik</v>
      </c>
      <c r="G63" s="7" t="str">
        <f>IF(F63="","","C")</f>
        <v>C</v>
      </c>
      <c r="H63" s="7">
        <f>IF(F63="",0,75)</f>
        <v>75</v>
      </c>
      <c r="I63" s="19" t="str">
        <f t="shared" si="3"/>
        <v>Informatik</v>
      </c>
      <c r="J63" s="365" t="str">
        <f t="shared" si="2"/>
        <v>Informatik C</v>
      </c>
      <c r="K63" s="6"/>
      <c r="L63" s="6"/>
      <c r="M63" s="6"/>
      <c r="N63" s="6"/>
      <c r="O63" s="6"/>
      <c r="P63" s="6"/>
      <c r="Q63" s="6"/>
      <c r="R63" s="6"/>
    </row>
    <row r="64" spans="1:18" x14ac:dyDescent="0.25">
      <c r="E64" s="7">
        <v>4</v>
      </c>
      <c r="F64" s="8" t="str">
        <f>IF(OR($A$50=E52,$A$42=E44,F44="",$A$5=$E$26),"",I52)</f>
        <v>Kemi</v>
      </c>
      <c r="G64" s="7" t="str">
        <f>IF(F64="","","C")</f>
        <v>C</v>
      </c>
      <c r="H64" s="7">
        <f>IF(F64="",0,75)</f>
        <v>75</v>
      </c>
      <c r="I64" s="19" t="str">
        <f t="shared" si="3"/>
        <v>Kemi</v>
      </c>
      <c r="J64" s="365" t="str">
        <f t="shared" si="2"/>
        <v>Kemi C</v>
      </c>
      <c r="K64" s="6"/>
      <c r="L64" s="6"/>
      <c r="M64" s="6"/>
      <c r="N64" s="6"/>
      <c r="O64" s="6"/>
      <c r="P64" s="6"/>
      <c r="Q64" s="6"/>
      <c r="R64" s="6"/>
    </row>
    <row r="65" spans="1:18" x14ac:dyDescent="0.25">
      <c r="E65" s="7">
        <v>5</v>
      </c>
      <c r="F65" s="8" t="str">
        <f>IF(OR($A$50=E53,$A$42=E45,F45="",$A$5=$E$26,A85=E91),"",I53)</f>
        <v>Latin</v>
      </c>
      <c r="G65" s="7" t="str">
        <f>IF(F65="","","C")</f>
        <v>C</v>
      </c>
      <c r="H65" s="7">
        <f>IF(F65="",0,75)</f>
        <v>75</v>
      </c>
      <c r="I65" s="19" t="str">
        <f t="shared" si="3"/>
        <v>Latin</v>
      </c>
      <c r="J65" s="365" t="str">
        <f t="shared" si="2"/>
        <v>Latin C</v>
      </c>
      <c r="K65" s="6"/>
      <c r="L65" s="6"/>
      <c r="M65" s="6"/>
      <c r="N65" s="6"/>
      <c r="O65" s="6"/>
      <c r="P65" s="6"/>
      <c r="Q65" s="6"/>
      <c r="R65" s="6"/>
    </row>
    <row r="66" spans="1:18" x14ac:dyDescent="0.25">
      <c r="E66" s="7">
        <v>6</v>
      </c>
      <c r="F66" s="8" t="str">
        <f>IF(OR($A$50=E54,$A$42=E46,F46="",$A$5=$E$26),"",I54)</f>
        <v>Naturgeografi</v>
      </c>
      <c r="G66" s="7" t="str">
        <f>IF(F66="","","C")</f>
        <v>C</v>
      </c>
      <c r="H66" s="7">
        <f>IF(F66="",0,75)</f>
        <v>75</v>
      </c>
      <c r="I66" s="19" t="str">
        <f t="shared" si="3"/>
        <v>Naturgeografi</v>
      </c>
      <c r="J66" s="365" t="str">
        <f t="shared" si="2"/>
        <v>Naturgeografi C</v>
      </c>
      <c r="K66" s="6"/>
      <c r="L66" s="6"/>
      <c r="M66" s="6"/>
      <c r="N66" s="6"/>
      <c r="O66" s="6"/>
      <c r="P66" s="6"/>
      <c r="Q66" s="6"/>
      <c r="R66" s="6"/>
    </row>
    <row r="67" spans="1:18" x14ac:dyDescent="0.25">
      <c r="E67" s="7">
        <v>7</v>
      </c>
      <c r="F67" s="8" t="str">
        <f>IF(OR(A5=E26,AND(C51=125,$A$50=E56)),"",IF(AND($A$50=E50,$A$5=$E$29),"",IF(OR($A$42=E42,AND($A$50=E50,C51=75)),I67,"")))</f>
        <v/>
      </c>
      <c r="G67" s="7" t="str">
        <f>IF(F67="","",IF(AND($A$51=F55,$B$51=G55),"","B"))</f>
        <v/>
      </c>
      <c r="H67" s="7">
        <f>IF(G67="",0,125)</f>
        <v>0</v>
      </c>
      <c r="I67" s="19" t="str">
        <f t="shared" si="3"/>
        <v>Biologi</v>
      </c>
      <c r="J67" s="175" t="str">
        <f>IF(OR($A$5=$E$26,$A$5=$E$20,$A$5=$E$21,AND(A51=F55,B51=G55)),"",F67&amp;" "&amp;G67)</f>
        <v xml:space="preserve"> </v>
      </c>
      <c r="K67" s="6"/>
      <c r="L67" s="6"/>
      <c r="M67" s="6"/>
      <c r="N67" s="6"/>
      <c r="O67" s="6"/>
      <c r="P67" s="6"/>
      <c r="Q67" s="6"/>
      <c r="R67" s="6"/>
    </row>
    <row r="68" spans="1:18" x14ac:dyDescent="0.25">
      <c r="E68" s="7">
        <v>8</v>
      </c>
      <c r="F68" s="8" t="str">
        <f>IF(OR($A$5=E19,$A$5=E20,$A$5=$E$26,A5=E29),"",I68)</f>
        <v>Fysik</v>
      </c>
      <c r="G68" s="7" t="str">
        <f>IF(F68="","","B")</f>
        <v>B</v>
      </c>
      <c r="H68" s="7">
        <f t="shared" ref="H68:H74" si="4">IF(F68="",0,125)</f>
        <v>125</v>
      </c>
      <c r="I68" s="19" t="s">
        <v>36</v>
      </c>
      <c r="J68" s="175" t="str">
        <f t="shared" ref="J68:J70" si="5">IF(OR($A$5=$E$26,$A$5=$E$20,$A$5=$E$21),"",F68&amp;" "&amp;G68)</f>
        <v>Fysik B</v>
      </c>
      <c r="K68" s="6"/>
      <c r="L68" s="6"/>
      <c r="M68" s="6"/>
      <c r="N68" s="6"/>
      <c r="O68" s="6"/>
      <c r="P68" s="6"/>
      <c r="Q68" s="6"/>
      <c r="R68" s="6"/>
    </row>
    <row r="69" spans="1:18" x14ac:dyDescent="0.25">
      <c r="E69" s="7">
        <v>9</v>
      </c>
      <c r="F69" s="8" t="str">
        <f>IF(OR($A$5=$E$26,$A$50=E56),"",IF(AND(A50=E51,A5=E29),"",IF(OR($A$42=E43,AND(C51=75,$A$50=E51)),I69,"")))</f>
        <v/>
      </c>
      <c r="G69" s="7" t="str">
        <f>IF(F69="","","B")</f>
        <v/>
      </c>
      <c r="H69" s="7">
        <f t="shared" si="4"/>
        <v>0</v>
      </c>
      <c r="I69" s="19" t="str">
        <f>I56</f>
        <v>Informatik</v>
      </c>
      <c r="J69" s="175" t="str">
        <f t="shared" si="5"/>
        <v xml:space="preserve"> </v>
      </c>
      <c r="K69" s="6"/>
      <c r="L69" s="6"/>
      <c r="M69" s="6"/>
      <c r="N69" s="6"/>
      <c r="O69" s="6"/>
      <c r="P69" s="6"/>
      <c r="Q69" s="6"/>
      <c r="R69" s="6"/>
    </row>
    <row r="70" spans="1:18" x14ac:dyDescent="0.25">
      <c r="E70" s="7">
        <v>10</v>
      </c>
      <c r="F70" s="8" t="str">
        <f>IF(OR(A5=E19,A5=E21,$A$50=E57),"",IF(AND($A$50=E52,$A$5=$E$29),"",IF(OR($A$42=E44,$A$50=E52),I70,"")))</f>
        <v/>
      </c>
      <c r="G70" s="7" t="str">
        <f>IF(F70="","","B")</f>
        <v/>
      </c>
      <c r="H70" s="7">
        <f t="shared" si="4"/>
        <v>0</v>
      </c>
      <c r="I70" s="19" t="str">
        <f>I57</f>
        <v>Kemi</v>
      </c>
      <c r="J70" s="175" t="str">
        <f t="shared" si="5"/>
        <v xml:space="preserve"> </v>
      </c>
      <c r="K70" s="6"/>
      <c r="L70" s="6"/>
      <c r="M70" s="6"/>
      <c r="N70" s="6"/>
      <c r="O70" s="6"/>
      <c r="P70" s="6"/>
      <c r="Q70" s="6"/>
      <c r="R70" s="6"/>
    </row>
    <row r="71" spans="1:18" x14ac:dyDescent="0.25">
      <c r="E71" s="7">
        <v>11</v>
      </c>
      <c r="F71" s="8" t="str">
        <f>IF(OR($A$5=$E$20,$A$50=E58),"",IF(AND($A$50=E54,$A$5=$E$29),"",IF(OR($A$42=E46,AND(C51=75,$A$50=E54)),I71,"")))</f>
        <v/>
      </c>
      <c r="G71" s="7" t="str">
        <f>IF(F71="","","B")</f>
        <v/>
      </c>
      <c r="H71" s="7">
        <f t="shared" si="4"/>
        <v>0</v>
      </c>
      <c r="I71" s="19" t="str">
        <f>I58</f>
        <v>Naturgeografi</v>
      </c>
      <c r="J71" s="175" t="str">
        <f>IF(OR($A$5=$E$26,$A$5=$E$20,$A$5=$E$21),"",F71&amp;" "&amp;G71)</f>
        <v xml:space="preserve"> </v>
      </c>
      <c r="K71" s="6"/>
      <c r="L71" s="6"/>
      <c r="M71" s="6"/>
      <c r="N71" s="6"/>
      <c r="O71" s="6"/>
      <c r="P71" s="6"/>
      <c r="Q71" s="6"/>
      <c r="R71" s="6"/>
    </row>
    <row r="72" spans="1:18" x14ac:dyDescent="0.25">
      <c r="E72" s="7">
        <v>12</v>
      </c>
      <c r="F72" s="8" t="str">
        <f>IF(OR($A$5=$E$20),"",IF(OR($A$5=$E$19,$A$5=$E$20,A85=E98),I72,""))</f>
        <v/>
      </c>
      <c r="G72" s="7" t="str">
        <f>IF(F72="","","A")</f>
        <v/>
      </c>
      <c r="H72" s="7">
        <f t="shared" ref="H72" si="6">IF(F72="",0,125)</f>
        <v>0</v>
      </c>
      <c r="I72" s="19" t="str">
        <f>IF($A$115=E142,"",I67)</f>
        <v>Biologi</v>
      </c>
      <c r="J72" s="175" t="str">
        <f t="shared" ref="J72" si="7">IF(OR($A$5=$E$26,$A$5=$E$20,$A$5=$E$21),"",F72&amp;" "&amp;G72)</f>
        <v xml:space="preserve"> </v>
      </c>
      <c r="K72" s="6"/>
      <c r="L72" s="6"/>
      <c r="M72" s="6"/>
      <c r="N72" s="6"/>
      <c r="O72" s="6"/>
      <c r="P72" s="6"/>
      <c r="Q72" s="6"/>
      <c r="R72" s="6"/>
    </row>
    <row r="73" spans="1:18" x14ac:dyDescent="0.25">
      <c r="E73" s="7">
        <v>13</v>
      </c>
      <c r="F73" s="8" t="str">
        <f>IF(OR($A$5=$E$20),"",IF(OR($A$5=$E$19,$A$5=$E$20),I73,""))</f>
        <v/>
      </c>
      <c r="G73" s="7" t="str">
        <f>IF(F73="","","A")</f>
        <v/>
      </c>
      <c r="H73" s="7">
        <f t="shared" si="4"/>
        <v>0</v>
      </c>
      <c r="I73" s="19" t="str">
        <f>IF($A$115=E145,"",I68)</f>
        <v>Fysik</v>
      </c>
      <c r="J73" s="175" t="str">
        <f t="shared" ref="J73:J74" si="8">IF(OR($A$5=$E$26,$A$5=$E$20,$A$5=$E$21),"",F73&amp;" "&amp;G73)</f>
        <v xml:space="preserve"> </v>
      </c>
      <c r="K73" s="6"/>
      <c r="L73" s="6"/>
      <c r="M73" s="6"/>
      <c r="N73" s="6"/>
      <c r="O73" s="6"/>
      <c r="P73" s="6"/>
      <c r="Q73" s="6"/>
      <c r="R73" s="6"/>
    </row>
    <row r="74" spans="1:18" x14ac:dyDescent="0.25">
      <c r="E74" s="7">
        <v>14</v>
      </c>
      <c r="F74" s="8" t="str">
        <f>IF(OR($A$5=$E$19),I74,"")</f>
        <v/>
      </c>
      <c r="G74" s="7" t="str">
        <f>IF(F74="","","A")</f>
        <v/>
      </c>
      <c r="H74" s="7">
        <f t="shared" si="4"/>
        <v>0</v>
      </c>
      <c r="I74" s="19" t="str">
        <f>IF($A$115=E146,"",I70)</f>
        <v>Kemi</v>
      </c>
      <c r="J74" s="175" t="str">
        <f t="shared" si="8"/>
        <v xml:space="preserve"> </v>
      </c>
      <c r="K74" s="6"/>
      <c r="L74" s="6"/>
      <c r="M74" s="6"/>
      <c r="N74" s="6"/>
      <c r="O74" s="6"/>
      <c r="P74" s="6"/>
      <c r="Q74" s="6"/>
      <c r="R74" s="6"/>
    </row>
    <row r="75" spans="1:18" x14ac:dyDescent="0.25">
      <c r="H75" s="7"/>
      <c r="I75" s="19"/>
      <c r="J75" s="6"/>
      <c r="K75" s="6"/>
      <c r="L75" s="6"/>
      <c r="M75" s="6"/>
      <c r="N75" s="6"/>
      <c r="O75" s="6"/>
      <c r="P75" s="6"/>
      <c r="Q75" s="6"/>
      <c r="R75" s="6"/>
    </row>
    <row r="76" spans="1:18" x14ac:dyDescent="0.25">
      <c r="H76" s="7"/>
      <c r="I76" s="19"/>
      <c r="J76" s="6"/>
      <c r="K76" s="6"/>
      <c r="M76" s="6"/>
      <c r="N76" s="6"/>
      <c r="O76" s="6"/>
      <c r="P76" s="6"/>
      <c r="Q76" s="6"/>
      <c r="R76" s="6"/>
    </row>
    <row r="77" spans="1:18" x14ac:dyDescent="0.25">
      <c r="G77" s="6"/>
      <c r="H77" s="7"/>
      <c r="I77" s="19"/>
      <c r="J77" s="6"/>
      <c r="K77" s="6"/>
      <c r="M77" s="6"/>
      <c r="N77" s="6"/>
      <c r="O77" s="6"/>
      <c r="P77" s="6"/>
      <c r="Q77" s="6"/>
      <c r="R77" s="6"/>
    </row>
    <row r="78" spans="1:18" x14ac:dyDescent="0.25">
      <c r="A78" s="22" t="s">
        <v>53</v>
      </c>
      <c r="B78" s="22"/>
      <c r="C78" s="22"/>
      <c r="E78" s="7">
        <v>1</v>
      </c>
      <c r="F78" s="8" t="s">
        <v>11</v>
      </c>
      <c r="G78" s="7" t="str">
        <f>IF(F78="","","")</f>
        <v/>
      </c>
      <c r="H78" s="7">
        <f>IF(G78="",0,"")</f>
        <v>0</v>
      </c>
      <c r="I78" s="6"/>
      <c r="J78" s="365" t="str">
        <f>IF($A$5=$E$29,"",F78)</f>
        <v>VÆLG</v>
      </c>
      <c r="K78" s="6"/>
      <c r="M78" s="6"/>
      <c r="N78" s="6"/>
      <c r="O78" s="6"/>
      <c r="P78" s="6"/>
      <c r="Q78" s="6"/>
      <c r="R78" s="6"/>
    </row>
    <row r="79" spans="1:18" x14ac:dyDescent="0.25">
      <c r="A79" s="14">
        <f>'Beregn stx'!D21</f>
        <v>1</v>
      </c>
      <c r="B79" s="14"/>
      <c r="C79" s="14"/>
      <c r="E79" s="7">
        <v>2</v>
      </c>
      <c r="F79" s="8" t="str">
        <f>IF($A$5=12,"",I79)</f>
        <v>Billedkunst</v>
      </c>
      <c r="G79" s="7" t="str">
        <f>IF(F79="","","C")</f>
        <v>C</v>
      </c>
      <c r="H79" s="7">
        <f>IF(F79="",0,75)</f>
        <v>75</v>
      </c>
      <c r="I79" s="19" t="s">
        <v>79</v>
      </c>
      <c r="J79" s="365" t="str">
        <f>IF($A$5=$E$29,"",F79)</f>
        <v>Billedkunst</v>
      </c>
      <c r="K79" s="6"/>
      <c r="M79" s="6"/>
      <c r="N79" s="6"/>
      <c r="O79" s="6"/>
      <c r="P79" s="6"/>
      <c r="Q79" s="6"/>
      <c r="R79" s="6"/>
    </row>
    <row r="80" spans="1:18" x14ac:dyDescent="0.25">
      <c r="A80" s="23" t="str">
        <f>VLOOKUP('Data stx'!A79,'Data stx'!E78:H82,2,)</f>
        <v>VÆLG</v>
      </c>
      <c r="B80" s="23" t="str">
        <f>'Beregn stx'!C23</f>
        <v/>
      </c>
      <c r="C80" s="23">
        <f>'Beregn stx'!D23</f>
        <v>0</v>
      </c>
      <c r="D80" s="17"/>
      <c r="E80" s="7">
        <v>3</v>
      </c>
      <c r="F80" s="8" t="str">
        <f>IF($A$5=12,"",I80)</f>
        <v>Dramatik</v>
      </c>
      <c r="G80" s="7" t="str">
        <f>IF(F80="","","C")</f>
        <v>C</v>
      </c>
      <c r="H80" s="7">
        <f>IF(F80="",0,75)</f>
        <v>75</v>
      </c>
      <c r="I80" s="19" t="s">
        <v>172</v>
      </c>
      <c r="J80" s="365" t="str">
        <f>IF($A$5=$E$29,"",F80)</f>
        <v>Dramatik</v>
      </c>
      <c r="K80" s="6"/>
      <c r="M80" s="6"/>
      <c r="N80" s="6"/>
      <c r="O80" s="6"/>
      <c r="P80" s="6"/>
      <c r="Q80" s="6"/>
      <c r="R80" s="6"/>
    </row>
    <row r="81" spans="1:18" x14ac:dyDescent="0.25">
      <c r="E81" s="7">
        <v>4</v>
      </c>
      <c r="F81" s="8" t="str">
        <f>IF($A$5=12,"",I81)</f>
        <v>Mediefag</v>
      </c>
      <c r="G81" s="7" t="str">
        <f>IF(F81="","","C")</f>
        <v>C</v>
      </c>
      <c r="H81" s="7">
        <f>IF(F81="",0,75)</f>
        <v>75</v>
      </c>
      <c r="I81" s="19" t="s">
        <v>16</v>
      </c>
      <c r="J81" s="365" t="str">
        <f>IF($A$5=$E$29,"",F81)</f>
        <v>Mediefag</v>
      </c>
      <c r="K81" s="6"/>
      <c r="M81" s="6"/>
      <c r="N81" s="6"/>
      <c r="O81" s="6"/>
      <c r="P81" s="6"/>
      <c r="Q81" s="6"/>
      <c r="R81" s="6"/>
    </row>
    <row r="82" spans="1:18" x14ac:dyDescent="0.25">
      <c r="E82" s="7">
        <v>5</v>
      </c>
      <c r="F82" s="8" t="str">
        <f>IF($A$5=12,"",I82)</f>
        <v>Musik</v>
      </c>
      <c r="G82" s="7" t="str">
        <f>IF(F82="","","C")</f>
        <v>C</v>
      </c>
      <c r="H82" s="7">
        <f>IF(F82="",0,75)</f>
        <v>75</v>
      </c>
      <c r="I82" s="19" t="s">
        <v>54</v>
      </c>
      <c r="J82" s="365" t="str">
        <f>IF($A$5=$E$29,"",F82)</f>
        <v>Musik</v>
      </c>
      <c r="K82" s="6"/>
      <c r="M82" s="6"/>
      <c r="N82" s="6"/>
      <c r="O82" s="6"/>
      <c r="P82" s="6"/>
      <c r="Q82" s="6"/>
      <c r="R82" s="6"/>
    </row>
    <row r="83" spans="1:18" x14ac:dyDescent="0.25">
      <c r="F83" s="17"/>
      <c r="G83" s="18"/>
      <c r="H83" s="6"/>
      <c r="I83" s="6"/>
      <c r="J83" s="6"/>
      <c r="K83" s="6"/>
      <c r="M83" s="6"/>
      <c r="N83" s="6"/>
      <c r="O83" s="6"/>
      <c r="P83" s="6"/>
      <c r="Q83" s="6"/>
      <c r="R83" s="6"/>
    </row>
    <row r="84" spans="1:18" x14ac:dyDescent="0.25">
      <c r="A84" s="22" t="str">
        <f>'Beregn stx'!J15</f>
        <v>Frit valgfag i 2.g, C-fag eller B-løft</v>
      </c>
      <c r="B84" s="22"/>
      <c r="C84" s="22"/>
      <c r="E84" s="7">
        <v>1</v>
      </c>
      <c r="F84" s="1" t="s">
        <v>11</v>
      </c>
      <c r="G84" s="7" t="str">
        <f>IF(F84="","","")</f>
        <v/>
      </c>
      <c r="H84" s="7">
        <f>IF(G84="",0,"")</f>
        <v>0</v>
      </c>
      <c r="I84" s="1"/>
      <c r="J84" s="365" t="str">
        <f>IF(OR($A$5=$E$20,$A$5=$E$29),"",F84&amp;" "&amp;G84)</f>
        <v xml:space="preserve">VÆLG </v>
      </c>
      <c r="L84" s="12" t="s">
        <v>79</v>
      </c>
    </row>
    <row r="85" spans="1:18" x14ac:dyDescent="0.25">
      <c r="A85" s="14">
        <f>'Beregn stx'!K16</f>
        <v>1</v>
      </c>
      <c r="B85" s="14"/>
      <c r="C85" s="14"/>
      <c r="E85" s="7">
        <v>2</v>
      </c>
      <c r="F85" s="182" t="str">
        <f>IF(OR(A$19=I85,$A$20=I85,$A$21=I85,$A$80=I85),"",'Data stx'!I85)</f>
        <v>Astronomi</v>
      </c>
      <c r="G85" s="7" t="str">
        <f>IF(OR($A$5=$E$20,$A$5=$E$29,F85=""),"","C")</f>
        <v>C</v>
      </c>
      <c r="H85" s="7">
        <f t="shared" ref="H85:H96" si="9">IF(G85="",0,75)</f>
        <v>75</v>
      </c>
      <c r="I85" s="19" t="s">
        <v>72</v>
      </c>
      <c r="J85" s="365" t="str">
        <f>IF(OR($A$5=$E$20,$A$5=$E$29),"",F85&amp;" "&amp;G85)</f>
        <v>Astronomi C</v>
      </c>
      <c r="L85" s="363" t="s">
        <v>39</v>
      </c>
    </row>
    <row r="86" spans="1:18" x14ac:dyDescent="0.25">
      <c r="A86" s="23" t="str">
        <f>VLOOKUP('Data stx'!A85,'Data stx'!E84:H106,2,)</f>
        <v>VÆLG</v>
      </c>
      <c r="B86" s="23" t="str">
        <f>'Beregn stx'!K17</f>
        <v/>
      </c>
      <c r="C86" s="23">
        <f>'Beregn stx'!L17</f>
        <v>0</v>
      </c>
      <c r="D86" s="17"/>
      <c r="E86" s="7">
        <v>3</v>
      </c>
      <c r="F86" s="182" t="str">
        <f>IF(OR(A$19=I86,$A$20=I86,$A$21=I86,$A$80=I86),"",'Data stx'!I86)</f>
        <v>Billedkunst</v>
      </c>
      <c r="G86" s="7" t="str">
        <f t="shared" ref="G86:G96" si="10">IF(OR($A$5=$E$20,$A$5=$E$29,F86=""),"","C")</f>
        <v>C</v>
      </c>
      <c r="H86" s="7">
        <f t="shared" si="9"/>
        <v>75</v>
      </c>
      <c r="I86" s="19" t="s">
        <v>79</v>
      </c>
      <c r="J86" s="365" t="str">
        <f t="shared" ref="J86:J96" si="11">IF(OR($A$5=$E$20,$A$5=$E$29),"",F86&amp;" "&amp;G86)</f>
        <v>Billedkunst C</v>
      </c>
      <c r="L86" s="12" t="s">
        <v>172</v>
      </c>
    </row>
    <row r="87" spans="1:18" x14ac:dyDescent="0.25">
      <c r="E87" s="7">
        <v>4</v>
      </c>
      <c r="F87" s="182" t="str">
        <f>IF(OR(A$19=I87,$A$20=I87,$A$21=I87,$A$80=I87),"",'Data stx'!I87)</f>
        <v>Dramatik</v>
      </c>
      <c r="G87" s="7" t="str">
        <f t="shared" si="10"/>
        <v>C</v>
      </c>
      <c r="H87" s="7">
        <f t="shared" si="9"/>
        <v>75</v>
      </c>
      <c r="I87" s="19" t="s">
        <v>172</v>
      </c>
      <c r="J87" s="365" t="str">
        <f t="shared" si="11"/>
        <v>Dramatik C</v>
      </c>
      <c r="K87" s="6"/>
      <c r="L87" s="358" t="s">
        <v>62</v>
      </c>
    </row>
    <row r="88" spans="1:18" x14ac:dyDescent="0.25">
      <c r="E88" s="7">
        <v>5</v>
      </c>
      <c r="F88" s="182" t="str">
        <f>IF(OR(A$19=I88,$A$20=I88,$A$21=I88,$A$80=I88),"",'Data stx'!I88)</f>
        <v>Erhvervsøkonomi</v>
      </c>
      <c r="G88" s="7" t="str">
        <f t="shared" si="10"/>
        <v>C</v>
      </c>
      <c r="H88" s="7">
        <f t="shared" si="9"/>
        <v>75</v>
      </c>
      <c r="I88" s="19" t="s">
        <v>74</v>
      </c>
      <c r="J88" s="365" t="str">
        <f t="shared" si="11"/>
        <v>Erhvervsøkonomi C</v>
      </c>
      <c r="K88" s="6"/>
      <c r="L88" s="125" t="s">
        <v>36</v>
      </c>
    </row>
    <row r="89" spans="1:18" x14ac:dyDescent="0.25">
      <c r="E89" s="7">
        <v>6</v>
      </c>
      <c r="F89" s="182" t="str">
        <f>IF(OR(A$19=I89,$A$20=I89,$A$21=I89,$A$80=I89),"",'Data stx'!I89)</f>
        <v>Filosofi</v>
      </c>
      <c r="G89" s="7" t="str">
        <f t="shared" si="10"/>
        <v>C</v>
      </c>
      <c r="H89" s="7">
        <f t="shared" si="9"/>
        <v>75</v>
      </c>
      <c r="I89" s="19" t="s">
        <v>62</v>
      </c>
      <c r="J89" s="365" t="str">
        <f>IF(OR($A$5=$E$20,$A$5=$E$29),"",F89&amp;" "&amp;G89)</f>
        <v>Filosofi C</v>
      </c>
      <c r="K89" s="6"/>
      <c r="L89" s="125" t="s">
        <v>42</v>
      </c>
    </row>
    <row r="90" spans="1:18" x14ac:dyDescent="0.25">
      <c r="E90" s="7">
        <v>7</v>
      </c>
      <c r="F90" s="182" t="str">
        <f>IF($A$5=4,I90,"")</f>
        <v/>
      </c>
      <c r="G90" s="7" t="str">
        <f t="shared" ref="G90" si="12">IF(OR($A$5=$E$20,$A$5=$E$29,F90=""),"","C")</f>
        <v/>
      </c>
      <c r="H90" s="7">
        <f t="shared" ref="H90" si="13">IF(G90="",0,75)</f>
        <v>0</v>
      </c>
      <c r="I90" s="19" t="str">
        <f>I63</f>
        <v>Informatik</v>
      </c>
      <c r="J90" s="365" t="str">
        <f>IF(OR($A$5=$E$20,$A$5=$E$29),"",F90&amp;" "&amp;G90)</f>
        <v xml:space="preserve"> </v>
      </c>
      <c r="K90" s="6"/>
      <c r="L90" s="125"/>
    </row>
    <row r="91" spans="1:18" x14ac:dyDescent="0.25">
      <c r="E91" s="7">
        <v>8</v>
      </c>
      <c r="F91" s="311" t="str">
        <f>IF(OR(A$19=I91,$A$20=I91,$A$21=I91,$A$51=I91,$A$43=I91),"",I91)</f>
        <v>Latin</v>
      </c>
      <c r="G91" s="7" t="str">
        <f t="shared" si="10"/>
        <v>C</v>
      </c>
      <c r="H91" s="7">
        <f t="shared" si="9"/>
        <v>75</v>
      </c>
      <c r="I91" s="19" t="s">
        <v>81</v>
      </c>
      <c r="J91" s="365" t="str">
        <f>IF(OR($A$5=$E$20,$A$5=$E$29),"",F91&amp;" "&amp;G91)</f>
        <v>Latin C</v>
      </c>
      <c r="K91" s="6"/>
      <c r="L91" s="363" t="s">
        <v>59</v>
      </c>
    </row>
    <row r="92" spans="1:18" x14ac:dyDescent="0.25">
      <c r="E92" s="7">
        <v>9</v>
      </c>
      <c r="F92" s="182" t="str">
        <f>IF(OR(A$19=I92,$A$20=I92,$A$21=I92,$A$80=I92),"",'Data stx'!I92)</f>
        <v>Mediefag</v>
      </c>
      <c r="G92" s="7" t="str">
        <f t="shared" si="10"/>
        <v>C</v>
      </c>
      <c r="H92" s="7">
        <f t="shared" si="9"/>
        <v>75</v>
      </c>
      <c r="I92" s="19" t="s">
        <v>16</v>
      </c>
      <c r="J92" s="365" t="str">
        <f t="shared" si="11"/>
        <v>Mediefag C</v>
      </c>
      <c r="K92" s="6"/>
      <c r="L92" s="363" t="s">
        <v>38</v>
      </c>
    </row>
    <row r="93" spans="1:18" x14ac:dyDescent="0.25">
      <c r="E93" s="7">
        <v>10</v>
      </c>
      <c r="F93" s="182" t="str">
        <f>IF(OR(A$19=I93,$A$20=I93,$A$21=I93,$A$80=I93),"",'Data stx'!I93)</f>
        <v>Musik</v>
      </c>
      <c r="G93" s="7" t="str">
        <f t="shared" si="10"/>
        <v>C</v>
      </c>
      <c r="H93" s="7">
        <f t="shared" si="9"/>
        <v>75</v>
      </c>
      <c r="I93" s="19" t="s">
        <v>54</v>
      </c>
      <c r="J93" s="365" t="str">
        <f t="shared" si="11"/>
        <v>Musik C</v>
      </c>
      <c r="K93" s="6"/>
      <c r="L93" t="s">
        <v>81</v>
      </c>
    </row>
    <row r="94" spans="1:18" x14ac:dyDescent="0.25">
      <c r="E94" s="7">
        <v>11</v>
      </c>
      <c r="F94" s="182" t="str">
        <f>IF($A$5=4,I94,"")</f>
        <v/>
      </c>
      <c r="G94" s="7" t="str">
        <f t="shared" ref="G94" si="14">IF(OR($A$5=$E$20,$A$5=$E$29,F94=""),"","C")</f>
        <v/>
      </c>
      <c r="H94" s="7">
        <f t="shared" ref="H94" si="15">IF(G94="",0,75)</f>
        <v>0</v>
      </c>
      <c r="I94" s="19" t="str">
        <f>I71</f>
        <v>Naturgeografi</v>
      </c>
      <c r="J94" s="365" t="str">
        <f t="shared" si="11"/>
        <v xml:space="preserve"> </v>
      </c>
      <c r="K94" s="6"/>
    </row>
    <row r="95" spans="1:18" x14ac:dyDescent="0.25">
      <c r="E95" s="7">
        <v>12</v>
      </c>
      <c r="F95" s="182" t="str">
        <f>IF(OR(A$19=I95,$A$20=I95,$A$21=I95,$A$80=I95),"",'Data stx'!I95)</f>
        <v>Psykologi</v>
      </c>
      <c r="G95" s="7" t="str">
        <f t="shared" si="10"/>
        <v>C</v>
      </c>
      <c r="H95" s="7">
        <f t="shared" si="9"/>
        <v>75</v>
      </c>
      <c r="I95" s="19" t="s">
        <v>17</v>
      </c>
      <c r="J95" s="365" t="str">
        <f t="shared" si="11"/>
        <v>Psykologi C</v>
      </c>
      <c r="K95" s="10"/>
      <c r="L95" t="s">
        <v>3</v>
      </c>
      <c r="N95" s="12"/>
      <c r="O95" s="12"/>
    </row>
    <row r="96" spans="1:18" x14ac:dyDescent="0.25">
      <c r="E96" s="7">
        <v>13</v>
      </c>
      <c r="F96" s="182" t="str">
        <f>IF(OR(A$19=I96,$A$20=I96,$A$21=I96,$A$80=I96),"",'Data stx'!I96)</f>
        <v>Statistik</v>
      </c>
      <c r="G96" s="7" t="str">
        <f t="shared" si="10"/>
        <v>C</v>
      </c>
      <c r="H96" s="7">
        <f t="shared" si="9"/>
        <v>75</v>
      </c>
      <c r="I96" s="19" t="s">
        <v>82</v>
      </c>
      <c r="J96" s="365" t="str">
        <f t="shared" si="11"/>
        <v>Statistik C</v>
      </c>
      <c r="K96" s="10"/>
      <c r="L96" t="s">
        <v>16</v>
      </c>
      <c r="N96" s="12"/>
      <c r="O96" s="12"/>
    </row>
    <row r="97" spans="1:15" x14ac:dyDescent="0.25">
      <c r="E97" s="7">
        <v>14</v>
      </c>
      <c r="F97" s="182" t="str">
        <f>IF($A$5=$E$29,"",IF($A$79=E79,I97,""))</f>
        <v/>
      </c>
      <c r="G97" s="7" t="str">
        <f t="shared" ref="G97:G106" si="16">IF(OR($A$5=$E$20,$A$5=$E$29,$A$5=$E$21,$A$5=$E$22,F97=""),"","B")</f>
        <v/>
      </c>
      <c r="H97" s="7">
        <f t="shared" ref="H97:H106" si="17">IF(G97="",0,125)</f>
        <v>0</v>
      </c>
      <c r="I97" s="12" t="s">
        <v>79</v>
      </c>
      <c r="J97" s="175" t="str">
        <f t="shared" ref="J97:J106" si="18">IF(OR($A$5=$E$20,$A$5=$E$29,$A$5=$E$21,$A$5=$E$22),"",F97&amp;" "&amp;G97)</f>
        <v xml:space="preserve"> </v>
      </c>
      <c r="K97" s="10"/>
      <c r="L97" t="s">
        <v>54</v>
      </c>
      <c r="N97" s="12"/>
      <c r="O97" s="12"/>
    </row>
    <row r="98" spans="1:15" x14ac:dyDescent="0.25">
      <c r="E98" s="7">
        <v>15</v>
      </c>
      <c r="F98" s="457" t="str">
        <f>IF(AND($A$5=$E$19,$A$42=$E$42),I98,"")</f>
        <v/>
      </c>
      <c r="G98" s="376" t="str">
        <f t="shared" ref="G98" si="19">IF(OR($A$5=$E$20,$A$5=$E$29,$A$5=$E$21,$A$5=$E$22,F98=""),"","B")</f>
        <v/>
      </c>
      <c r="H98" s="376">
        <f t="shared" ref="H98" si="20">IF(G98="",0,125)</f>
        <v>0</v>
      </c>
      <c r="I98" s="358" t="str">
        <f>I62</f>
        <v>Biologi</v>
      </c>
      <c r="J98" s="363" t="str">
        <f t="shared" ref="J98" si="21">IF(OR($A$5=$E$20,$A$5=$E$29,$A$5=$E$21,$A$5=$E$22),"",F98&amp;" "&amp;G98)</f>
        <v xml:space="preserve"> </v>
      </c>
      <c r="K98" s="10"/>
      <c r="N98" s="12"/>
      <c r="O98" s="12"/>
    </row>
    <row r="99" spans="1:15" x14ac:dyDescent="0.25">
      <c r="E99" s="7">
        <v>16</v>
      </c>
      <c r="F99" s="182" t="str">
        <f>IF($A$5=$E$29,"",IF($A$79=E80,I99,""))</f>
        <v/>
      </c>
      <c r="G99" s="7" t="str">
        <f t="shared" si="16"/>
        <v/>
      </c>
      <c r="H99" s="7">
        <f t="shared" si="17"/>
        <v>0</v>
      </c>
      <c r="I99" s="12" t="s">
        <v>172</v>
      </c>
      <c r="J99" s="175" t="str">
        <f t="shared" si="18"/>
        <v xml:space="preserve"> </v>
      </c>
      <c r="K99" s="10"/>
      <c r="L99" s="363" t="s">
        <v>52</v>
      </c>
      <c r="N99" s="12"/>
    </row>
    <row r="100" spans="1:15" x14ac:dyDescent="0.25">
      <c r="E100" s="7">
        <v>17</v>
      </c>
      <c r="F100" s="457" t="str">
        <f>IF(AND($A$5=$E$19,$A$42=$E$43),I100,"")</f>
        <v/>
      </c>
      <c r="G100" s="376" t="str">
        <f t="shared" si="16"/>
        <v/>
      </c>
      <c r="H100" s="376">
        <f t="shared" si="17"/>
        <v>0</v>
      </c>
      <c r="I100" s="358" t="str">
        <f>I69</f>
        <v>Informatik</v>
      </c>
      <c r="J100" s="363" t="str">
        <f t="shared" si="18"/>
        <v xml:space="preserve"> </v>
      </c>
      <c r="K100" s="10"/>
      <c r="L100" s="363"/>
      <c r="N100" s="12"/>
    </row>
    <row r="101" spans="1:15" x14ac:dyDescent="0.25">
      <c r="E101" s="7">
        <v>18</v>
      </c>
      <c r="F101" s="360" t="str">
        <f>IF($A$42=E45,I101,"")</f>
        <v/>
      </c>
      <c r="G101" s="7" t="str">
        <f>IF(OR($A$5=$E$20,$A$5=$E$29,$A$5=$E$21,$A$5=$E$22,F101=""),"","B")</f>
        <v/>
      </c>
      <c r="H101" s="7">
        <f t="shared" si="17"/>
        <v>0</v>
      </c>
      <c r="I101" t="s">
        <v>81</v>
      </c>
      <c r="J101" s="175" t="str">
        <f t="shared" si="18"/>
        <v xml:space="preserve"> </v>
      </c>
      <c r="K101" s="10"/>
      <c r="L101" s="125" t="s">
        <v>17</v>
      </c>
      <c r="N101" s="12"/>
      <c r="O101" s="12"/>
    </row>
    <row r="102" spans="1:15" x14ac:dyDescent="0.25">
      <c r="E102" s="7">
        <v>19</v>
      </c>
      <c r="F102" s="359" t="str">
        <f>IF($A$5=$E$26,I102,"")</f>
        <v/>
      </c>
      <c r="G102" s="7" t="str">
        <f t="shared" si="16"/>
        <v/>
      </c>
      <c r="H102" s="7">
        <f t="shared" si="17"/>
        <v>0</v>
      </c>
      <c r="I102" t="s">
        <v>3</v>
      </c>
      <c r="J102" s="175" t="str">
        <f t="shared" si="18"/>
        <v xml:space="preserve"> </v>
      </c>
      <c r="K102" s="10"/>
      <c r="L102" s="125" t="s">
        <v>49</v>
      </c>
      <c r="N102" s="12"/>
      <c r="O102" s="12"/>
    </row>
    <row r="103" spans="1:15" x14ac:dyDescent="0.25">
      <c r="E103" s="7">
        <v>20</v>
      </c>
      <c r="F103" s="182" t="str">
        <f>IF($A$5=$E$29,"",IF($A$79=E81,I103,""))</f>
        <v/>
      </c>
      <c r="G103" s="7" t="str">
        <f t="shared" si="16"/>
        <v/>
      </c>
      <c r="H103" s="7">
        <f t="shared" si="17"/>
        <v>0</v>
      </c>
      <c r="I103" t="s">
        <v>16</v>
      </c>
      <c r="J103" s="175" t="str">
        <f t="shared" si="18"/>
        <v xml:space="preserve"> </v>
      </c>
      <c r="K103" s="10"/>
      <c r="L103" t="s">
        <v>5</v>
      </c>
      <c r="N103" s="12"/>
      <c r="O103" s="12"/>
    </row>
    <row r="104" spans="1:15" x14ac:dyDescent="0.25">
      <c r="E104" s="7">
        <v>21</v>
      </c>
      <c r="F104" s="182" t="str">
        <f>IF($A$5=$E$29,"",IF($A$79=E82,I104,""))</f>
        <v/>
      </c>
      <c r="G104" s="7" t="str">
        <f t="shared" si="16"/>
        <v/>
      </c>
      <c r="H104" s="7">
        <f t="shared" si="17"/>
        <v>0</v>
      </c>
      <c r="I104" t="s">
        <v>54</v>
      </c>
      <c r="J104" s="175" t="str">
        <f t="shared" si="18"/>
        <v xml:space="preserve"> </v>
      </c>
      <c r="K104" s="10"/>
      <c r="N104" s="12"/>
      <c r="O104" s="12"/>
    </row>
    <row r="105" spans="1:15" x14ac:dyDescent="0.25">
      <c r="E105" s="7">
        <v>22</v>
      </c>
      <c r="F105" s="457" t="str">
        <f>IF(AND($A$5=$E$19,$A$42=$E$46),I105,"")</f>
        <v/>
      </c>
      <c r="G105" s="376" t="str">
        <f t="shared" si="16"/>
        <v/>
      </c>
      <c r="H105" s="376">
        <f t="shared" si="17"/>
        <v>0</v>
      </c>
      <c r="I105" s="358" t="str">
        <f>I71</f>
        <v>Naturgeografi</v>
      </c>
      <c r="J105" s="363" t="str">
        <f t="shared" si="18"/>
        <v xml:space="preserve"> </v>
      </c>
      <c r="K105" s="10"/>
      <c r="N105" s="12"/>
      <c r="O105" s="12"/>
    </row>
    <row r="106" spans="1:15" x14ac:dyDescent="0.25">
      <c r="E106" s="7">
        <v>23</v>
      </c>
      <c r="F106" s="27" t="str">
        <f>IF(OR($A$19=I106,$A$20=I106,$A$21=I106),"",I106)</f>
        <v>Samfundsfag</v>
      </c>
      <c r="G106" s="7" t="str">
        <f t="shared" si="16"/>
        <v>B</v>
      </c>
      <c r="H106" s="7">
        <f t="shared" si="17"/>
        <v>125</v>
      </c>
      <c r="I106" t="s">
        <v>5</v>
      </c>
      <c r="J106" s="175" t="str">
        <f t="shared" si="18"/>
        <v>Samfundsfag B</v>
      </c>
      <c r="K106" s="10"/>
      <c r="L106" s="357"/>
      <c r="N106" s="12"/>
      <c r="O106" s="12"/>
    </row>
    <row r="107" spans="1:15" x14ac:dyDescent="0.25">
      <c r="I107" s="12"/>
      <c r="K107" s="10"/>
      <c r="M107" s="12"/>
      <c r="N107" s="12"/>
      <c r="O107" s="12"/>
    </row>
    <row r="108" spans="1:15" x14ac:dyDescent="0.25">
      <c r="I108" s="11"/>
      <c r="K108" s="10"/>
      <c r="M108" s="12"/>
      <c r="N108" s="12"/>
      <c r="O108" s="12"/>
    </row>
    <row r="109" spans="1:15" x14ac:dyDescent="0.25">
      <c r="A109" s="22" t="s">
        <v>173</v>
      </c>
      <c r="B109" s="22"/>
      <c r="C109" s="22"/>
      <c r="E109" s="376">
        <v>1</v>
      </c>
      <c r="F109" s="377" t="s">
        <v>174</v>
      </c>
      <c r="G109" s="376" t="str">
        <f>IF(F109="","","")</f>
        <v/>
      </c>
      <c r="H109" s="376">
        <f>IF(G109="",0,"")</f>
        <v>0</v>
      </c>
      <c r="I109" s="125"/>
      <c r="J109" s="378" t="str">
        <f t="shared" ref="J109:J150" si="22">F109&amp;" "&amp;G109</f>
        <v xml:space="preserve">ej </v>
      </c>
      <c r="K109" s="10"/>
      <c r="M109" s="12"/>
      <c r="N109" s="12"/>
      <c r="O109" s="12"/>
    </row>
    <row r="110" spans="1:15" x14ac:dyDescent="0.25">
      <c r="A110" s="14"/>
      <c r="B110" s="14"/>
      <c r="C110" s="14"/>
      <c r="E110" s="376">
        <v>2</v>
      </c>
      <c r="F110" s="379"/>
      <c r="G110" s="376"/>
      <c r="H110" s="376"/>
      <c r="I110" s="380"/>
      <c r="J110" s="378"/>
      <c r="K110" s="10"/>
      <c r="M110" s="12"/>
      <c r="N110" s="12"/>
      <c r="O110" s="12"/>
    </row>
    <row r="111" spans="1:15" x14ac:dyDescent="0.25">
      <c r="A111" s="23"/>
      <c r="B111" s="23"/>
      <c r="C111" s="23"/>
      <c r="D111" s="17"/>
      <c r="E111" s="376">
        <v>3</v>
      </c>
      <c r="F111" s="379"/>
      <c r="G111" s="376"/>
      <c r="H111" s="376"/>
      <c r="I111" s="380"/>
      <c r="J111" s="378"/>
      <c r="K111" s="10"/>
      <c r="M111" s="12"/>
      <c r="N111" s="12"/>
      <c r="O111" s="12"/>
    </row>
    <row r="112" spans="1:15" x14ac:dyDescent="0.25">
      <c r="I112" s="6"/>
      <c r="J112" s="6" t="str">
        <f t="shared" si="22"/>
        <v xml:space="preserve"> </v>
      </c>
    </row>
    <row r="113" spans="1:22" x14ac:dyDescent="0.25">
      <c r="E113" s="7">
        <v>1</v>
      </c>
      <c r="F113" s="364" t="str">
        <f>IF(AND(OR($A$5=$E$19,$A$5=$E$22,$A$5=$E$23,$A$5=$E$24,$A$5=$E$25),$B$34="A"),"",I113)</f>
        <v>VÆLG</v>
      </c>
      <c r="G113" s="7" t="str">
        <f>IF(F113="","","")</f>
        <v/>
      </c>
      <c r="H113" s="7">
        <f>IF(G113="",0,"")</f>
        <v>0</v>
      </c>
      <c r="I113" s="1" t="s">
        <v>11</v>
      </c>
      <c r="J113" s="365" t="str">
        <f>F113&amp;" "&amp;G113</f>
        <v xml:space="preserve">VÆLG </v>
      </c>
      <c r="L113" s="6"/>
    </row>
    <row r="114" spans="1:22" x14ac:dyDescent="0.25">
      <c r="A114" s="22" t="str">
        <f>'Beregn stx'!J20</f>
        <v>Frie valgfag i 3.g</v>
      </c>
      <c r="B114" s="22"/>
      <c r="C114" s="21"/>
      <c r="E114" s="7">
        <v>2</v>
      </c>
      <c r="F114" s="364" t="str">
        <f>IF(OR($A$5=$E$19,A5=E26),"",IF(AND(OR($A$5=$E$19,$A$5=$E$22,$A$5=$E$23,$A$5=$E$24,$A$5=$E$25),$B$34="A"),"",IF(OR($A$43=I114,$A$51=I114,AND($A$86=I114,C86=75),$A$111=I114,$A$80=I114),"",I114)))</f>
        <v>Astronomi</v>
      </c>
      <c r="G114" s="7" t="str">
        <f>IF(F114="","","C")</f>
        <v>C</v>
      </c>
      <c r="H114" s="7">
        <f>IF(G114="",0,75)</f>
        <v>75</v>
      </c>
      <c r="I114" s="364" t="str">
        <f>I85</f>
        <v>Astronomi</v>
      </c>
      <c r="J114" s="365" t="str">
        <f>IF($A$86=I114,"",F114&amp;" "&amp;G114)</f>
        <v>Astronomi C</v>
      </c>
    </row>
    <row r="115" spans="1:22" x14ac:dyDescent="0.25">
      <c r="A115" s="14">
        <f>'Beregn stx'!K21</f>
        <v>1</v>
      </c>
      <c r="B115" s="14"/>
      <c r="C115" s="14"/>
      <c r="E115" s="7">
        <v>3</v>
      </c>
      <c r="F115" s="364" t="str">
        <f>IF(OR($A$5=$E$19,A5=E26),"",IF(AND(OR($A$5=$E$19,$A$5=$E$22,$A$5=$E$23,$A$5=$E$24,$A$5=$E$25),$B$34="A"),"",IF(OR($A$43=I115,$A$51=I115,AND($A$86=I115,C86=75),$A$111=I115,$A$80=I115),"",I115)))</f>
        <v>Billedkunst</v>
      </c>
      <c r="G115" s="7" t="str">
        <f t="shared" ref="G115:G125" si="23">IF(F115="","","C")</f>
        <v>C</v>
      </c>
      <c r="H115" s="7">
        <f t="shared" ref="H115:H125" si="24">IF(G115="",0,75)</f>
        <v>75</v>
      </c>
      <c r="I115" s="364" t="str">
        <f>I86</f>
        <v>Billedkunst</v>
      </c>
      <c r="J115" s="365" t="str">
        <f t="shared" ref="J115:J125" si="25">IF($A$86=I115,"",F115&amp;" "&amp;G115)</f>
        <v>Billedkunst C</v>
      </c>
    </row>
    <row r="116" spans="1:22" x14ac:dyDescent="0.25">
      <c r="A116" s="23" t="str">
        <f>VLOOKUP('Data stx'!A115,'Data stx'!E113:H150,2,)</f>
        <v>VÆLG</v>
      </c>
      <c r="B116" s="23" t="str">
        <f>'Beregn stx'!K22</f>
        <v/>
      </c>
      <c r="C116" s="23">
        <f>'Beregn stx'!L22</f>
        <v>0</v>
      </c>
      <c r="D116" s="17"/>
      <c r="E116" s="7">
        <v>4</v>
      </c>
      <c r="F116" s="364" t="str">
        <f>IF(OR($A$5=$E$19,A5=E26),"",IF(AND(OR($A$5=$E$19,$A$5=$E$22,$A$5=$E$23,$A$5=$E$24,$A$5=$E$25),$B$34="A"),"",IF(OR($A$43=I116,$A$51=I116,AND($A$86=I116,C86=75),$A$111=I116,$A$80=I116),"",I116)))</f>
        <v>Dramatik</v>
      </c>
      <c r="G116" s="7" t="str">
        <f t="shared" si="23"/>
        <v>C</v>
      </c>
      <c r="H116" s="7">
        <f t="shared" si="24"/>
        <v>75</v>
      </c>
      <c r="I116" s="364" t="str">
        <f>I87</f>
        <v>Dramatik</v>
      </c>
      <c r="J116" s="365" t="str">
        <f t="shared" si="25"/>
        <v>Dramatik C</v>
      </c>
      <c r="K116" s="6"/>
      <c r="M116" s="6"/>
      <c r="N116" s="6"/>
      <c r="O116" s="6"/>
      <c r="P116" s="6"/>
      <c r="Q116" s="6"/>
      <c r="R116" s="6"/>
      <c r="S116" s="6"/>
      <c r="T116" s="6"/>
      <c r="U116" s="6"/>
      <c r="V116" s="6"/>
    </row>
    <row r="117" spans="1:22" x14ac:dyDescent="0.25">
      <c r="A117" s="48"/>
      <c r="B117" s="48"/>
      <c r="C117" s="48"/>
      <c r="D117" s="17"/>
      <c r="E117" s="7">
        <v>5</v>
      </c>
      <c r="F117" s="364" t="str">
        <f>IF(OR($A$5=$E$19,A5=E26),"",IF(AND(OR($A$5=$E$19,$A$5=$E$22,$A$5=$E$23,$A$5=$E$24,$A$5=$E$25),$B$34="A"),"",IF(OR($A$43=I117,$A$51=I117,AND(C86=75,$A$86=I117),$A$111=I117,$A$80=I117),"",I117)))</f>
        <v>Erhvervsøkonomi</v>
      </c>
      <c r="G117" s="7" t="str">
        <f t="shared" si="23"/>
        <v>C</v>
      </c>
      <c r="H117" s="7">
        <f t="shared" si="24"/>
        <v>75</v>
      </c>
      <c r="I117" s="364" t="str">
        <f>I88</f>
        <v>Erhvervsøkonomi</v>
      </c>
      <c r="J117" s="365" t="str">
        <f t="shared" si="25"/>
        <v>Erhvervsøkonomi C</v>
      </c>
    </row>
    <row r="118" spans="1:22" x14ac:dyDescent="0.25">
      <c r="D118" s="17"/>
      <c r="E118" s="7">
        <v>6</v>
      </c>
      <c r="F118" s="364" t="str">
        <f>IF(OR($A$5=$E$19,A5=E26),"",IF(AND(OR($A$5=$E$19,$A$5=$E$22,$A$5=$E$23,$A$5=$E$24,$A$5=$E$25),$B$34="A"),"",IF(OR($A$43=I118,$A$51=I118,AND($A$86=I118,C86=75),$A$111=I118,$A$80=I118),"",I118)))</f>
        <v>Filosofi</v>
      </c>
      <c r="G118" s="7" t="str">
        <f t="shared" si="23"/>
        <v>C</v>
      </c>
      <c r="H118" s="7">
        <f t="shared" si="24"/>
        <v>75</v>
      </c>
      <c r="I118" s="364" t="str">
        <f>I89</f>
        <v>Filosofi</v>
      </c>
      <c r="J118" s="365" t="str">
        <f>IF(AND($A$86=I118,C86=75),"",F118&amp;" "&amp;G118)</f>
        <v>Filosofi C</v>
      </c>
    </row>
    <row r="119" spans="1:22" x14ac:dyDescent="0.25">
      <c r="D119" s="17"/>
      <c r="E119" s="7">
        <v>7</v>
      </c>
      <c r="F119" s="364" t="str">
        <f>IF(AND(OR($A$5=$E$20,$A$5=$E$21)),I119,"")</f>
        <v/>
      </c>
      <c r="G119" s="7" t="str">
        <f t="shared" si="23"/>
        <v/>
      </c>
      <c r="H119" s="7">
        <f t="shared" si="24"/>
        <v>0</v>
      </c>
      <c r="I119" s="364" t="str">
        <f>I69</f>
        <v>Informatik</v>
      </c>
      <c r="J119" s="365" t="str">
        <f>IF($A$86=I119,"",F119&amp;" "&amp;G119)</f>
        <v xml:space="preserve"> </v>
      </c>
    </row>
    <row r="120" spans="1:22" x14ac:dyDescent="0.25">
      <c r="D120" s="17"/>
      <c r="E120" s="7">
        <v>8</v>
      </c>
      <c r="F120" s="364" t="str">
        <f>IF(OR(AND($A$85=$E$91,$A$5=3)),"",IF($A$5=3,I120,""))</f>
        <v/>
      </c>
      <c r="G120" s="7" t="str">
        <f t="shared" ref="G120" si="26">IF(F120="","","C")</f>
        <v/>
      </c>
      <c r="H120" s="7">
        <f t="shared" ref="H120" si="27">IF(G120="",0,75)</f>
        <v>0</v>
      </c>
      <c r="I120" s="364" t="str">
        <f>IF(A154=E159,"",I101)</f>
        <v>Latin</v>
      </c>
      <c r="J120" s="365" t="str">
        <f>IF($A$86=I120,"",F120&amp;" "&amp;G120)</f>
        <v xml:space="preserve"> </v>
      </c>
    </row>
    <row r="121" spans="1:22" x14ac:dyDescent="0.25">
      <c r="A121" s="48"/>
      <c r="B121" s="48"/>
      <c r="C121" s="48"/>
      <c r="D121" s="17"/>
      <c r="E121" s="7">
        <v>9</v>
      </c>
      <c r="F121" s="364" t="str">
        <f>IF(OR($A$5=$E$19,A5=E26),"",IF(AND(OR($A$5=$E$19,$A$5=$E$22,$A$5=$E$23,$A$5=$E$24,$A$5=$E$25),$B$34="A"),"",IF(OR($A$43=I121,$A$51=I121,AND($A$86=I121,C86=75),$A$111=I121,$A$80=I121),"",I121)))</f>
        <v>Mediefag</v>
      </c>
      <c r="G121" s="7" t="str">
        <f t="shared" si="23"/>
        <v>C</v>
      </c>
      <c r="H121" s="7">
        <f t="shared" si="24"/>
        <v>75</v>
      </c>
      <c r="I121" s="364" t="str">
        <f>I92</f>
        <v>Mediefag</v>
      </c>
      <c r="J121" s="365" t="str">
        <f t="shared" si="25"/>
        <v>Mediefag C</v>
      </c>
    </row>
    <row r="122" spans="1:22" x14ac:dyDescent="0.25">
      <c r="E122" s="7">
        <v>10</v>
      </c>
      <c r="F122" s="364" t="str">
        <f>IF(OR($A$5=$E$19,$A$5=$E$29),"",IF(AND(OR($A$5=$E$19,$A$5=$E$22,$A$5=$E$23,$A$5=$E$24,$A$5=$E$25),$B$34="A"),"",IF(OR($A$43=I122,$A$51=I122,AND($A$86=I122,C86=75),$A$111=I122,$A$80=I122),"",I122)))</f>
        <v>Musik</v>
      </c>
      <c r="G122" s="7" t="str">
        <f t="shared" si="23"/>
        <v>C</v>
      </c>
      <c r="H122" s="7">
        <f t="shared" si="24"/>
        <v>75</v>
      </c>
      <c r="I122" s="364" t="str">
        <f>I93</f>
        <v>Musik</v>
      </c>
      <c r="J122" s="365" t="str">
        <f>IF($A$86=I122,"",F122&amp;" "&amp;G122)</f>
        <v>Musik C</v>
      </c>
    </row>
    <row r="123" spans="1:22" x14ac:dyDescent="0.25">
      <c r="E123" s="7">
        <v>11</v>
      </c>
      <c r="F123" s="364" t="str">
        <f>IF(AND(OR($A$5=$E$20,$A$5=$E$21)),I123,"")</f>
        <v/>
      </c>
      <c r="G123" s="7" t="str">
        <f t="shared" ref="G123" si="28">IF(F123="","","C")</f>
        <v/>
      </c>
      <c r="H123" s="7">
        <f t="shared" ref="H123" si="29">IF(G123="",0,75)</f>
        <v>0</v>
      </c>
      <c r="I123" s="364" t="str">
        <f>I71</f>
        <v>Naturgeografi</v>
      </c>
      <c r="J123" s="365" t="str">
        <f t="shared" si="25"/>
        <v xml:space="preserve"> </v>
      </c>
    </row>
    <row r="124" spans="1:22" x14ac:dyDescent="0.25">
      <c r="E124" s="7">
        <v>12</v>
      </c>
      <c r="F124" s="364" t="str">
        <f>IF(OR($A$5=$E$19,A5=E26),"",IF(AND(OR($A$5=$E$19,$A$5=$E$22,$A$5=$E$23,$A$5=$E$24,$A$5=$E$25),$B$34="A"),"",IF(OR($A$43=I124,$A$51=I124,AND($A$86=I124,C86=75),$A$111=I124,$A$80=I124),"",I124)))</f>
        <v>Psykologi</v>
      </c>
      <c r="G124" s="7" t="str">
        <f t="shared" si="23"/>
        <v>C</v>
      </c>
      <c r="H124" s="7">
        <f t="shared" si="24"/>
        <v>75</v>
      </c>
      <c r="I124" s="364" t="str">
        <f>I95</f>
        <v>Psykologi</v>
      </c>
      <c r="J124" s="365" t="str">
        <f t="shared" si="25"/>
        <v>Psykologi C</v>
      </c>
    </row>
    <row r="125" spans="1:22" x14ac:dyDescent="0.25">
      <c r="E125" s="7">
        <v>13</v>
      </c>
      <c r="F125" s="364" t="str">
        <f>IF(OR($A$5=$E$19,A5=E26),"",IF(AND(OR($A$5=$E$19,$A$5=$E$22,$A$5=$E$23,$A$5=$E$24,$A$5=$E$25),$B$34="A"),"",IF(OR($A$43=I125,$A$51=I125,AND($A$86=I125,C86=75),$A$111=I125,$A$80=I125),"",I125)))</f>
        <v>Statistik</v>
      </c>
      <c r="G125" s="7" t="str">
        <f t="shared" si="23"/>
        <v>C</v>
      </c>
      <c r="H125" s="7">
        <f t="shared" si="24"/>
        <v>75</v>
      </c>
      <c r="I125" s="364" t="str">
        <f>I96</f>
        <v>Statistik</v>
      </c>
      <c r="J125" s="365" t="str">
        <f t="shared" si="25"/>
        <v>Statistik C</v>
      </c>
      <c r="M125" s="65"/>
    </row>
    <row r="126" spans="1:22" x14ac:dyDescent="0.25">
      <c r="E126" s="7">
        <v>14</v>
      </c>
      <c r="F126" s="180" t="str">
        <f>IF(OR($A$5=$E$19),"",IF(AND(OR($A$5=$E$19,$A$5=$E$22,$A$5=$E$23,$A$5=$E$24,$A$5=$E$25),$B$34="A"),"",IF($A$85=E97,"",IF(OR($A$80=I126,$A$86=I126),I126,""))))</f>
        <v/>
      </c>
      <c r="G126" s="160" t="str">
        <f t="shared" ref="G126:G141" si="30">IF(F126="","","B")</f>
        <v/>
      </c>
      <c r="H126" s="160">
        <f t="shared" ref="H126:H135" si="31">IF(G126="",0,125)</f>
        <v>0</v>
      </c>
      <c r="I126" s="366" t="s">
        <v>79</v>
      </c>
      <c r="J126" s="175" t="str">
        <f t="shared" si="22"/>
        <v xml:space="preserve"> </v>
      </c>
      <c r="L126" s="12" t="s">
        <v>79</v>
      </c>
      <c r="M126" s="65"/>
    </row>
    <row r="127" spans="1:22" x14ac:dyDescent="0.25">
      <c r="E127" s="7">
        <v>15</v>
      </c>
      <c r="F127" s="180" t="str">
        <f>IF(AND($A$5=9,OR($A$42=E42,$A$50=E50)),I127,"")</f>
        <v/>
      </c>
      <c r="G127" s="458" t="str">
        <f t="shared" ref="G127" si="32">IF(F127="","","B")</f>
        <v/>
      </c>
      <c r="H127" s="458">
        <f t="shared" ref="H127" si="33">IF(G127="",0,125)</f>
        <v>0</v>
      </c>
      <c r="I127" s="459" t="str">
        <f>IF($A$50=E55,"",I42)</f>
        <v>Biologi</v>
      </c>
      <c r="J127" s="175" t="str">
        <f t="shared" si="22"/>
        <v xml:space="preserve"> </v>
      </c>
      <c r="L127" s="12"/>
      <c r="M127" s="65"/>
    </row>
    <row r="128" spans="1:22" x14ac:dyDescent="0.25">
      <c r="E128" s="7">
        <v>16</v>
      </c>
      <c r="F128" s="180" t="str">
        <f>IF(OR($A$5=$E$19),"",IF(AND(OR($A$5=$E$19,$A$5=$E$22,$A$5=$E$23,$A$5=$E$24,$A$5=$E$25),$B$34="A"),"",IF($A$85=E99,"",IF(OR($A$80=I128,$A$86=I128),I128,""))))</f>
        <v/>
      </c>
      <c r="G128" s="160" t="str">
        <f t="shared" si="30"/>
        <v/>
      </c>
      <c r="H128" s="160">
        <f t="shared" si="31"/>
        <v>0</v>
      </c>
      <c r="I128" s="366" t="s">
        <v>172</v>
      </c>
      <c r="J128" s="175" t="str">
        <f t="shared" si="22"/>
        <v xml:space="preserve"> </v>
      </c>
      <c r="L128" s="12" t="s">
        <v>172</v>
      </c>
      <c r="M128" s="65"/>
    </row>
    <row r="129" spans="1:13" x14ac:dyDescent="0.25">
      <c r="E129" s="7">
        <v>17</v>
      </c>
      <c r="F129" s="370" t="str">
        <f>IF(OR($A$5=$E$19,AND(A5=E29,B34="A")),"",IF(AND(OR($A$5=$E$19,$A$5=$E$22,$A$5=$E$23,$A$5=$E$24,$A$5=$E$25),$B$34="A"),"",IF(OR($A$80=I129,$A$86=I129),I129,"")))</f>
        <v/>
      </c>
      <c r="G129" s="160" t="str">
        <f t="shared" si="30"/>
        <v/>
      </c>
      <c r="H129" s="160">
        <f t="shared" si="31"/>
        <v>0</v>
      </c>
      <c r="I129" s="367" t="s">
        <v>62</v>
      </c>
      <c r="J129" s="175" t="str">
        <f t="shared" si="22"/>
        <v xml:space="preserve"> </v>
      </c>
      <c r="L129" s="358" t="s">
        <v>62</v>
      </c>
      <c r="M129" s="65"/>
    </row>
    <row r="130" spans="1:13" x14ac:dyDescent="0.25">
      <c r="E130" s="7">
        <v>18</v>
      </c>
      <c r="F130" s="182" t="str">
        <f>IF(OR($A$5=$E$19),"",IF(AND(OR($A$5=$E$19,$A$5=$E$22,$A$5=$E$23,$A$5=$E$24,$A$5=$E$25),$B$34="A"),"",IF(OR($A$5=$E$19,$A$5=$E$20,$A$62=$E$68),"",I130)))</f>
        <v>Fysik</v>
      </c>
      <c r="G130" s="160" t="str">
        <f t="shared" si="30"/>
        <v>B</v>
      </c>
      <c r="H130" s="160">
        <f t="shared" si="31"/>
        <v>125</v>
      </c>
      <c r="I130" s="368" t="s">
        <v>36</v>
      </c>
      <c r="J130" s="175" t="str">
        <f t="shared" si="22"/>
        <v>Fysik B</v>
      </c>
      <c r="L130" s="125" t="s">
        <v>36</v>
      </c>
      <c r="M130" s="65"/>
    </row>
    <row r="131" spans="1:13" x14ac:dyDescent="0.25">
      <c r="E131" s="7">
        <v>19</v>
      </c>
      <c r="F131" s="182" t="str">
        <f>IF(OR($A$5=$E$19),"",IF(AND(OR($A$5=$E$19,$A$5=$E$22,$A$5=$E$23,$A$5=$E$24,$A$5=$E$25),$B$34="A"),"",IF($A$5=$E$22,"",I131)))</f>
        <v>Idræt</v>
      </c>
      <c r="G131" s="160" t="str">
        <f t="shared" si="30"/>
        <v>B</v>
      </c>
      <c r="H131" s="160">
        <f t="shared" si="31"/>
        <v>125</v>
      </c>
      <c r="I131" s="368" t="s">
        <v>42</v>
      </c>
      <c r="J131" s="175" t="str">
        <f t="shared" si="22"/>
        <v>Idræt B</v>
      </c>
      <c r="L131" s="125" t="s">
        <v>42</v>
      </c>
      <c r="M131" s="65"/>
    </row>
    <row r="132" spans="1:13" x14ac:dyDescent="0.25">
      <c r="E132" s="7">
        <v>20</v>
      </c>
      <c r="F132" s="180" t="str">
        <f>IF(AND($A$5=9,OR($A$42=E43,$A$50=E51)),I132,IF(AND(A5=E21,A85=E90),I132,""))</f>
        <v/>
      </c>
      <c r="G132" s="458" t="str">
        <f t="shared" si="30"/>
        <v/>
      </c>
      <c r="H132" s="458">
        <f t="shared" si="31"/>
        <v>0</v>
      </c>
      <c r="I132" s="459" t="str">
        <f>IF($A$50=E56,"",I43)</f>
        <v>Informatik</v>
      </c>
      <c r="J132" s="175" t="str">
        <f t="shared" ref="J132" si="34">F132&amp;" "&amp;G132</f>
        <v xml:space="preserve"> </v>
      </c>
      <c r="L132" s="125"/>
      <c r="M132" s="65"/>
    </row>
    <row r="133" spans="1:13" x14ac:dyDescent="0.25">
      <c r="E133" s="7">
        <v>21</v>
      </c>
      <c r="F133" s="180" t="str">
        <f>IF(AND($A$5=9,OR($A$42=E44,$A$50=E52)),I133,"")</f>
        <v/>
      </c>
      <c r="G133" s="458" t="str">
        <f t="shared" ref="G133" si="35">IF(F133="","","B")</f>
        <v/>
      </c>
      <c r="H133" s="458">
        <f t="shared" ref="H133" si="36">IF(G133="",0,125)</f>
        <v>0</v>
      </c>
      <c r="I133" s="459" t="str">
        <f>IF($A$50=E57,"",I44)</f>
        <v>Kemi</v>
      </c>
      <c r="J133" s="175" t="str">
        <f t="shared" ref="J133" si="37">F133&amp;" "&amp;G133</f>
        <v xml:space="preserve"> </v>
      </c>
      <c r="L133" s="125"/>
      <c r="M133" s="65"/>
    </row>
    <row r="134" spans="1:13" x14ac:dyDescent="0.25">
      <c r="E134" s="7">
        <v>22</v>
      </c>
      <c r="F134" s="371" t="str">
        <f>IF(OR($A$5=$E$19,),"",IF(AND(OR($A$5=$E$19,$A$5=$E$22,$A$5=$E$23,$A$5=$E$24,$A$5=$E$25),$B$34="A"),"",IF($A$85=E101,"",IF(OR($A$51=I134,$A$43=I134,$A$86=I134),I134,""))))</f>
        <v/>
      </c>
      <c r="G134" s="160" t="str">
        <f t="shared" si="30"/>
        <v/>
      </c>
      <c r="H134" s="160">
        <f t="shared" si="31"/>
        <v>0</v>
      </c>
      <c r="I134" s="369" t="s">
        <v>81</v>
      </c>
      <c r="J134" s="175" t="str">
        <f t="shared" si="22"/>
        <v xml:space="preserve"> </v>
      </c>
      <c r="L134" t="s">
        <v>81</v>
      </c>
      <c r="M134" s="65"/>
    </row>
    <row r="135" spans="1:13" s="6" customFormat="1" x14ac:dyDescent="0.25">
      <c r="A135" s="18"/>
      <c r="B135" s="18"/>
      <c r="C135" s="18"/>
      <c r="D135" s="18"/>
      <c r="E135" s="7">
        <v>23</v>
      </c>
      <c r="F135" s="373" t="str">
        <f>IF(OR($A$5=$E$19,$A$5=$E$21,$A$85=$E$102),"",IF($A$5=$E$26,I135,""))</f>
        <v/>
      </c>
      <c r="G135" s="160" t="str">
        <f t="shared" si="30"/>
        <v/>
      </c>
      <c r="H135" s="7">
        <f t="shared" si="31"/>
        <v>0</v>
      </c>
      <c r="I135" s="369" t="s">
        <v>3</v>
      </c>
      <c r="J135" s="175" t="str">
        <f t="shared" si="22"/>
        <v xml:space="preserve"> </v>
      </c>
      <c r="L135" t="s">
        <v>3</v>
      </c>
      <c r="M135" s="12"/>
    </row>
    <row r="136" spans="1:13" s="6" customFormat="1" x14ac:dyDescent="0.25">
      <c r="A136" s="18"/>
      <c r="B136" s="18"/>
      <c r="C136" s="18"/>
      <c r="D136" s="18"/>
      <c r="E136" s="7">
        <v>24</v>
      </c>
      <c r="F136" s="180" t="str">
        <f>IF(OR($A$5=$E$19),"",IF(AND(OR($A$5=$E$19,$A$5=$E$22,$A$5=$E$23,$A$5=$E$24,$A$5=$E$25),$B$34="A"),"",IF($A$85=E103,"",IF(OR($A$80=I136,$A$86=I136),I136,""))))</f>
        <v/>
      </c>
      <c r="G136" s="160" t="str">
        <f t="shared" si="30"/>
        <v/>
      </c>
      <c r="H136" s="7">
        <f t="shared" ref="H136:H145" si="38">IF(G136="",0,125)</f>
        <v>0</v>
      </c>
      <c r="I136" s="369" t="s">
        <v>16</v>
      </c>
      <c r="J136" s="175" t="str">
        <f t="shared" si="22"/>
        <v xml:space="preserve"> </v>
      </c>
      <c r="L136" t="s">
        <v>16</v>
      </c>
      <c r="M136" s="12"/>
    </row>
    <row r="137" spans="1:13" s="6" customFormat="1" x14ac:dyDescent="0.25">
      <c r="A137" s="18"/>
      <c r="B137" s="18"/>
      <c r="C137" s="18"/>
      <c r="D137" s="18"/>
      <c r="E137" s="7">
        <v>25</v>
      </c>
      <c r="F137" s="180" t="str">
        <f>IF(OR($A$5=$E$19),"",IF(AND(OR($A$5=$E$19,$A$5=$E$22,$A$5=$E$23,$A$5=$E$24,$A$5=$E$25),$B$34="A"),"",IF(OR($A$5=$E$29,$A$85=E104),"",IF(OR($A$80=I137,$A$86=I137),I137,""))))</f>
        <v/>
      </c>
      <c r="G137" s="160" t="str">
        <f t="shared" si="30"/>
        <v/>
      </c>
      <c r="H137" s="7">
        <f t="shared" si="38"/>
        <v>0</v>
      </c>
      <c r="I137" s="369" t="s">
        <v>54</v>
      </c>
      <c r="J137" s="175" t="str">
        <f t="shared" si="22"/>
        <v xml:space="preserve"> </v>
      </c>
      <c r="L137" t="s">
        <v>54</v>
      </c>
      <c r="M137" s="12"/>
    </row>
    <row r="138" spans="1:13" s="6" customFormat="1" x14ac:dyDescent="0.25">
      <c r="A138" s="18"/>
      <c r="B138" s="18"/>
      <c r="C138" s="18"/>
      <c r="D138" s="18"/>
      <c r="E138" s="7">
        <v>26</v>
      </c>
      <c r="F138" s="180" t="str">
        <f>IF(AND($A$5=9,OR($A$42=E46,$A$50=E54)),I138,IF(AND(A5=E21,A85=E94),I138,""))</f>
        <v/>
      </c>
      <c r="G138" s="458" t="str">
        <f t="shared" si="30"/>
        <v/>
      </c>
      <c r="H138" s="458">
        <f t="shared" si="38"/>
        <v>0</v>
      </c>
      <c r="I138" s="459" t="str">
        <f>IF($A$50=E58,"",I46)</f>
        <v>Naturgeografi</v>
      </c>
      <c r="J138" s="175" t="str">
        <f t="shared" si="22"/>
        <v xml:space="preserve"> </v>
      </c>
      <c r="L138"/>
      <c r="M138" s="12"/>
    </row>
    <row r="139" spans="1:13" s="6" customFormat="1" x14ac:dyDescent="0.25">
      <c r="A139" s="18"/>
      <c r="B139" s="18"/>
      <c r="C139" s="18"/>
      <c r="D139" s="18"/>
      <c r="E139" s="7">
        <v>27</v>
      </c>
      <c r="F139" s="370" t="str">
        <f>IF(OR($A$5=$E$19,A5=E20),"",IF(AND(OR($A$5=$E$19,$A$5=$E$22,$A$5=$E$23,$A$5=$E$24,$A$5=$E$25),$B$34="A"),"",IF(OR($A$80=I139,$A$86=I139),I139,"")))</f>
        <v/>
      </c>
      <c r="G139" s="160" t="str">
        <f t="shared" si="30"/>
        <v/>
      </c>
      <c r="H139" s="7">
        <f t="shared" si="38"/>
        <v>0</v>
      </c>
      <c r="I139" s="368" t="s">
        <v>17</v>
      </c>
      <c r="J139" s="175" t="str">
        <f t="shared" si="22"/>
        <v xml:space="preserve"> </v>
      </c>
      <c r="L139" s="125" t="s">
        <v>17</v>
      </c>
      <c r="M139" s="12"/>
    </row>
    <row r="140" spans="1:13" s="6" customFormat="1" x14ac:dyDescent="0.25">
      <c r="A140" s="18"/>
      <c r="B140" s="18"/>
      <c r="C140" s="18"/>
      <c r="D140" s="18"/>
      <c r="E140" s="7">
        <v>28</v>
      </c>
      <c r="F140" s="372" t="str">
        <f>IF(OR($A$5=$E$19),"",IF(AND(OR($A$5=$E$19,$A$5=$E$22,$A$5=$E$23,$A$5=$E$24,$A$5=$E$25),$B$34="A"),"",I140))</f>
        <v>Religion</v>
      </c>
      <c r="G140" s="160" t="str">
        <f t="shared" si="30"/>
        <v>B</v>
      </c>
      <c r="H140" s="7">
        <f t="shared" si="38"/>
        <v>125</v>
      </c>
      <c r="I140" s="368" t="s">
        <v>49</v>
      </c>
      <c r="J140" s="175" t="str">
        <f t="shared" si="22"/>
        <v>Religion B</v>
      </c>
      <c r="L140" s="125" t="s">
        <v>49</v>
      </c>
      <c r="M140" s="12"/>
    </row>
    <row r="141" spans="1:13" s="6" customFormat="1" x14ac:dyDescent="0.25">
      <c r="A141" s="18"/>
      <c r="B141" s="18"/>
      <c r="C141" s="18"/>
      <c r="D141" s="18"/>
      <c r="E141" s="7">
        <v>29</v>
      </c>
      <c r="F141" s="372" t="str">
        <f>IF(OR($A$5=$E$19,A19=I141,A20=I141,A21=I141),"",IF(AND(OR($A$5=$E$19,$A$5=$E$23,$A$5=$E$24,$A$5=$E$25),$B$34="A"),"",IF(OR($A$5=$E$22,$A$86=I141),"",I141)))</f>
        <v>Samfundsfag</v>
      </c>
      <c r="G141" s="160" t="str">
        <f t="shared" si="30"/>
        <v>B</v>
      </c>
      <c r="H141" s="7">
        <f t="shared" si="38"/>
        <v>125</v>
      </c>
      <c r="I141" s="369" t="str">
        <f>IF(A5=E21,"","Samfundsfag")</f>
        <v>Samfundsfag</v>
      </c>
      <c r="J141" s="175" t="str">
        <f t="shared" si="22"/>
        <v>Samfundsfag B</v>
      </c>
      <c r="L141" t="s">
        <v>5</v>
      </c>
      <c r="M141" s="12"/>
    </row>
    <row r="142" spans="1:13" s="6" customFormat="1" x14ac:dyDescent="0.25">
      <c r="A142" s="18"/>
      <c r="B142" s="18"/>
      <c r="C142" s="18"/>
      <c r="D142" s="18"/>
      <c r="E142" s="7">
        <v>30</v>
      </c>
      <c r="F142" s="375" t="str">
        <f>IF(AND(OR($A$5=$E$19,$A$5=$E$22,$A$5=$E$23,$A$5=$E$24,$A$5=$E$25),$B$34="A"),"",IF(AND(A5=E19,A42=E42,A85=E98),I142,IF(AND($A$51=I142,B51=G55),I142,"")))</f>
        <v/>
      </c>
      <c r="G142" s="7" t="str">
        <f t="shared" ref="G142:G145" si="39">IF(F142="","","A")</f>
        <v/>
      </c>
      <c r="H142" s="7">
        <f t="shared" si="38"/>
        <v>0</v>
      </c>
      <c r="I142" t="str">
        <f>IF(A62=E72,"","Biologi")</f>
        <v>Biologi</v>
      </c>
      <c r="J142" s="365" t="str">
        <f t="shared" si="22"/>
        <v xml:space="preserve"> </v>
      </c>
      <c r="L142" t="s">
        <v>39</v>
      </c>
      <c r="M142" s="12"/>
    </row>
    <row r="143" spans="1:13" s="6" customFormat="1" x14ac:dyDescent="0.25">
      <c r="A143" s="18"/>
      <c r="B143" s="18"/>
      <c r="C143" s="18"/>
      <c r="D143" s="18"/>
      <c r="E143" s="7">
        <v>31</v>
      </c>
      <c r="F143" s="360" t="str">
        <f>IF(OR($A$19=$I$143,$A$20=$I$143),"",IF(AND(OR($A$5=$E$19,$A$5=$E$22,$A$5=$E$23,$A$5=$E$24,$A$5=$E$25),$B$34="A"),"",I143))</f>
        <v>Engelsk</v>
      </c>
      <c r="G143" s="7" t="str">
        <f t="shared" si="39"/>
        <v>A</v>
      </c>
      <c r="H143" s="7">
        <f t="shared" si="38"/>
        <v>125</v>
      </c>
      <c r="I143" t="s">
        <v>2</v>
      </c>
      <c r="J143" s="365" t="str">
        <f t="shared" si="22"/>
        <v>Engelsk A</v>
      </c>
      <c r="L143" t="s">
        <v>2</v>
      </c>
      <c r="M143" s="12"/>
    </row>
    <row r="144" spans="1:13" s="6" customFormat="1" x14ac:dyDescent="0.25">
      <c r="A144" s="18"/>
      <c r="B144" s="18"/>
      <c r="C144" s="18"/>
      <c r="D144" s="18"/>
      <c r="E144" s="7">
        <v>32</v>
      </c>
      <c r="F144" s="375" t="str">
        <f>IF(AND(OR($A$5=$E$19,$A$5=$E$22,$A$5=$E$23,$A$5=$E$24,$A$5=$E$25),$B$34="A"),"",IF(AND($A$33=E34,C34=200),I144,""))</f>
        <v/>
      </c>
      <c r="G144" s="7" t="str">
        <f t="shared" ref="G144" si="40">IF(F144="","","A")</f>
        <v/>
      </c>
      <c r="H144" s="7">
        <f t="shared" ref="H144" si="41">IF(G144="",0,125)</f>
        <v>0</v>
      </c>
      <c r="I144" s="19" t="s">
        <v>67</v>
      </c>
      <c r="J144" s="365" t="str">
        <f t="shared" si="22"/>
        <v xml:space="preserve"> </v>
      </c>
      <c r="L144"/>
      <c r="M144" s="12"/>
    </row>
    <row r="145" spans="1:13" s="6" customFormat="1" x14ac:dyDescent="0.25">
      <c r="A145" s="18"/>
      <c r="B145" s="18"/>
      <c r="C145" s="18"/>
      <c r="D145" s="18"/>
      <c r="E145" s="7">
        <v>33</v>
      </c>
      <c r="F145" s="374" t="str">
        <f>IF(AND(OR($A$5=$E$19,$A$5=$E$22,$A$5=$E$23,$A$5=$E$24,$A$5=$E$25),$B$34="A"),"",IF(A63=I145,"",IF(OR($A$5=$E$19,$A$5=E20),I145,"")))</f>
        <v/>
      </c>
      <c r="G145" s="7" t="str">
        <f t="shared" si="39"/>
        <v/>
      </c>
      <c r="H145" s="7">
        <f t="shared" si="38"/>
        <v>0</v>
      </c>
      <c r="I145" s="6" t="s">
        <v>36</v>
      </c>
      <c r="J145" s="365" t="str">
        <f t="shared" si="22"/>
        <v xml:space="preserve"> </v>
      </c>
      <c r="L145" s="6" t="s">
        <v>36</v>
      </c>
      <c r="M145" s="12"/>
    </row>
    <row r="146" spans="1:13" s="6" customFormat="1" x14ac:dyDescent="0.25">
      <c r="A146" s="18"/>
      <c r="B146" s="18"/>
      <c r="C146" s="18"/>
      <c r="D146" s="18"/>
      <c r="E146" s="7">
        <v>34</v>
      </c>
      <c r="F146" s="374" t="str">
        <f>IF(AND(OR($A$5=$E$19,$A$5=$E$22,$A$5=$E$23,$A$5=$E$24,$A$5=$E$25),$B$34="A"),"",IF(A62=E74,"",IF(OR($A$5=$E$19,$A$5=$E$20,$A$5=E21,AND(A50=E57,A51="Kemi"),AND(A5=E29,A62=E70,A63="Kemi")),I146,"")))</f>
        <v/>
      </c>
      <c r="G146" s="7" t="str">
        <f t="shared" ref="G146:G150" si="42">IF(F146="","","A")</f>
        <v/>
      </c>
      <c r="H146" s="7">
        <f t="shared" ref="H146:H150" si="43">IF(G146="",0,125)</f>
        <v>0</v>
      </c>
      <c r="I146" t="s">
        <v>38</v>
      </c>
      <c r="J146" s="365" t="str">
        <f t="shared" si="22"/>
        <v xml:space="preserve"> </v>
      </c>
      <c r="L146" t="s">
        <v>38</v>
      </c>
      <c r="M146" s="12"/>
    </row>
    <row r="147" spans="1:13" s="6" customFormat="1" x14ac:dyDescent="0.25">
      <c r="A147" s="18"/>
      <c r="B147" s="18"/>
      <c r="C147" s="18"/>
      <c r="D147" s="18"/>
      <c r="E147" s="7">
        <v>35</v>
      </c>
      <c r="F147" s="360" t="str">
        <f>IF(AND(A5=E26,A86=I102),I147,IF(OR($A$5=$E$19,$A$5=$E$20,$E$23=$A$5),"",IF(AND(OR($A$5=$E$19,$A$5=$E$22,$A$5=$E$23,$A$5=$E$24,$A$5=$E$25,A5=E26),$B$34="A"),"",I147)))</f>
        <v>Matematik</v>
      </c>
      <c r="G147" s="7" t="str">
        <f t="shared" si="42"/>
        <v>A</v>
      </c>
      <c r="H147" s="7">
        <f t="shared" si="43"/>
        <v>125</v>
      </c>
      <c r="I147" t="s">
        <v>3</v>
      </c>
      <c r="J147" s="365" t="str">
        <f t="shared" si="22"/>
        <v>Matematik A</v>
      </c>
      <c r="L147" t="s">
        <v>3</v>
      </c>
      <c r="M147" s="12"/>
    </row>
    <row r="148" spans="1:13" s="6" customFormat="1" x14ac:dyDescent="0.25">
      <c r="A148" s="18"/>
      <c r="B148" s="18"/>
      <c r="C148" s="18"/>
      <c r="D148" s="18"/>
      <c r="E148" s="7">
        <v>36</v>
      </c>
      <c r="F148" s="375" t="str">
        <f>IF(AND(OR($A$5=$E$19,$A$5=$E$22,$A$5=$E$23,$A$5=$E$24,$A$5=$E$25),$B$34="A"),"",IF(AND(A86=I93,B86="C"),"",IF($A$86=I148,I148,"")))</f>
        <v/>
      </c>
      <c r="G148" s="7" t="str">
        <f t="shared" si="42"/>
        <v/>
      </c>
      <c r="H148" s="7">
        <f t="shared" si="43"/>
        <v>0</v>
      </c>
      <c r="I148" t="s">
        <v>54</v>
      </c>
      <c r="J148" s="365" t="str">
        <f t="shared" si="22"/>
        <v xml:space="preserve"> </v>
      </c>
      <c r="L148" t="s">
        <v>54</v>
      </c>
      <c r="M148" s="12"/>
    </row>
    <row r="149" spans="1:13" s="6" customFormat="1" x14ac:dyDescent="0.25">
      <c r="A149" s="18"/>
      <c r="B149" s="18"/>
      <c r="C149" s="18"/>
      <c r="D149" s="18"/>
      <c r="E149" s="7">
        <v>37</v>
      </c>
      <c r="F149" s="375" t="str">
        <f>IF(AND(OR($A$5=$E$19,$A$5=$E$22,$A$5=$E$23,$A$5=$E$24,$A$5=$E$25),$B$34="A"),"",IF(OR(A5=E27,A5=E28,$A$86=I149),I149,""))</f>
        <v/>
      </c>
      <c r="G149" s="7" t="str">
        <f t="shared" si="42"/>
        <v/>
      </c>
      <c r="H149" s="7">
        <f t="shared" si="43"/>
        <v>0</v>
      </c>
      <c r="I149" t="s">
        <v>5</v>
      </c>
      <c r="J149" s="365" t="str">
        <f t="shared" si="22"/>
        <v xml:space="preserve"> </v>
      </c>
      <c r="L149" t="s">
        <v>5</v>
      </c>
      <c r="M149" s="12"/>
    </row>
    <row r="150" spans="1:13" s="6" customFormat="1" x14ac:dyDescent="0.25">
      <c r="A150" s="18"/>
      <c r="B150" s="18"/>
      <c r="C150" s="18"/>
      <c r="D150" s="18"/>
      <c r="E150" s="7">
        <v>38</v>
      </c>
      <c r="F150" s="375" t="str">
        <f>IF(E27=A5,"",IF(AND(OR($A$5=$E$19,$A$5=$E$22,$A$5=$E$23,$A$5=$E$24,$A$5=$E$25),$B$34="A"),"",IF($A$34=I150,I150,IF($A$5=9,I150,""))))</f>
        <v/>
      </c>
      <c r="G150" s="7" t="str">
        <f t="shared" si="42"/>
        <v/>
      </c>
      <c r="H150" s="7">
        <f t="shared" si="43"/>
        <v>0</v>
      </c>
      <c r="I150" t="s">
        <v>8</v>
      </c>
      <c r="J150" s="365" t="str">
        <f t="shared" si="22"/>
        <v xml:space="preserve"> </v>
      </c>
      <c r="L150" t="s">
        <v>8</v>
      </c>
      <c r="M150" s="12"/>
    </row>
    <row r="151" spans="1:13" s="6" customFormat="1" x14ac:dyDescent="0.25">
      <c r="A151" s="18"/>
      <c r="B151" s="18"/>
      <c r="C151" s="18"/>
      <c r="D151" s="18"/>
      <c r="E151" s="7"/>
      <c r="F151" s="17"/>
      <c r="G151" s="312"/>
      <c r="H151" s="312"/>
      <c r="I151" s="176"/>
      <c r="J151" s="176"/>
      <c r="M151" s="12"/>
    </row>
    <row r="152" spans="1:13" x14ac:dyDescent="0.25">
      <c r="M152" s="65"/>
    </row>
    <row r="153" spans="1:13" x14ac:dyDescent="0.25">
      <c r="A153" s="22" t="s">
        <v>84</v>
      </c>
      <c r="B153" s="22"/>
      <c r="C153" s="22"/>
      <c r="E153" s="7">
        <v>1</v>
      </c>
      <c r="F153" s="17" t="str">
        <f>IF(OR($A$5=$E$19,$A$5=$E$22,$A$5=$E$23,$A$5=$E$24,$A$5=$E$25,$A$5=$E$27,$A$5=$E$28),"",IF(AND(OR($A$5=$E$20,$A$5=$E$21,$A$5=$E$29),$B$34="A"),"",I153))</f>
        <v>VÆLG</v>
      </c>
      <c r="G153" s="7" t="str">
        <f>IF(F153="","","")</f>
        <v/>
      </c>
      <c r="H153" s="7">
        <f>IF(G153="",0,"")</f>
        <v>0</v>
      </c>
      <c r="I153" s="1" t="s">
        <v>11</v>
      </c>
      <c r="J153" s="365" t="str">
        <f t="shared" ref="J153:J180" si="44">F153&amp;" "&amp;G153</f>
        <v xml:space="preserve">VÆLG </v>
      </c>
      <c r="M153" s="65"/>
    </row>
    <row r="154" spans="1:13" x14ac:dyDescent="0.25">
      <c r="A154" s="14">
        <f>'Beregn stx'!K23</f>
        <v>1</v>
      </c>
      <c r="B154" s="14"/>
      <c r="C154" s="14"/>
      <c r="E154" s="7">
        <v>2</v>
      </c>
      <c r="F154" s="364" t="str">
        <f>IF(OR(AND($A$116=I154,$C$116=75),AND($A$86=I154,$C$86=75),AND($A$80=I154,$C$80=75)),"",IF(AND(OR($A$5=$E$20),$B$34="B"),I154,""))</f>
        <v/>
      </c>
      <c r="G154" s="7" t="str">
        <f>IF(F154="","","C")</f>
        <v/>
      </c>
      <c r="H154" s="7">
        <f>IF(G154="",0,75)</f>
        <v>0</v>
      </c>
      <c r="I154" s="364" t="str">
        <f>I114</f>
        <v>Astronomi</v>
      </c>
      <c r="J154" s="365" t="str">
        <f t="shared" si="44"/>
        <v xml:space="preserve"> </v>
      </c>
      <c r="M154" s="65"/>
    </row>
    <row r="155" spans="1:13" x14ac:dyDescent="0.25">
      <c r="A155" s="23" t="str">
        <f>VLOOKUP('Data stx'!A154,'Data stx'!E153:H181,2,)</f>
        <v>VÆLG</v>
      </c>
      <c r="B155" s="23" t="str">
        <f>'Beregn stx'!K24</f>
        <v/>
      </c>
      <c r="C155" s="23">
        <f>'Beregn stx'!L24</f>
        <v>0</v>
      </c>
      <c r="E155" s="7">
        <v>3</v>
      </c>
      <c r="F155" s="364" t="str">
        <f>IF(OR(AND($A$116=I155,$C$116=75),AND($A$86=I155,$C$86=75),AND($A$80=I155,$C$80=75)),"",IF(AND(OR($A$5=$E$20),$B$34="B"),I155,""))</f>
        <v/>
      </c>
      <c r="G155" s="7" t="str">
        <f t="shared" ref="G155:G163" si="45">IF(F155="","","C")</f>
        <v/>
      </c>
      <c r="H155" s="7">
        <f t="shared" ref="H155:H163" si="46">IF(G155="",0,75)</f>
        <v>0</v>
      </c>
      <c r="I155" s="364" t="str">
        <f>I115</f>
        <v>Billedkunst</v>
      </c>
      <c r="J155" s="365" t="str">
        <f t="shared" si="44"/>
        <v xml:space="preserve"> </v>
      </c>
      <c r="M155" s="65"/>
    </row>
    <row r="156" spans="1:13" x14ac:dyDescent="0.25">
      <c r="A156" s="58">
        <f>A157+A158+A160+A161</f>
        <v>3</v>
      </c>
      <c r="B156" s="58"/>
      <c r="C156" s="58"/>
      <c r="E156" s="7">
        <v>4</v>
      </c>
      <c r="F156" s="364" t="str">
        <f>IF(OR(AND($A$116=I156,$C$116=75),AND($A$86=I156,$C$86=75),AND($A$80=I156,$C$80=75)),"",IF(AND(OR($A$5=$E$20),$B$34="B"),I156,""))</f>
        <v/>
      </c>
      <c r="G156" s="7" t="str">
        <f t="shared" si="45"/>
        <v/>
      </c>
      <c r="H156" s="7">
        <f t="shared" si="46"/>
        <v>0</v>
      </c>
      <c r="I156" s="364" t="str">
        <f>I116</f>
        <v>Dramatik</v>
      </c>
      <c r="J156" s="365" t="str">
        <f t="shared" si="44"/>
        <v xml:space="preserve"> </v>
      </c>
      <c r="M156" s="65"/>
    </row>
    <row r="157" spans="1:13" x14ac:dyDescent="0.25">
      <c r="A157" s="58">
        <f>IF(B116="B",0,1)</f>
        <v>1</v>
      </c>
      <c r="B157" s="58"/>
      <c r="C157" s="58"/>
      <c r="E157" s="7">
        <v>5</v>
      </c>
      <c r="F157" s="364" t="str">
        <f>IF(OR(AND($A$116=I157,$C$116=75),AND($A$86=I157,$C$86=75),AND($A$80=I157,$C$80=75)),"",IF(AND(OR($A$5=$E$20),$B$34="B"),I157,""))</f>
        <v/>
      </c>
      <c r="G157" s="7" t="str">
        <f t="shared" si="45"/>
        <v/>
      </c>
      <c r="H157" s="7">
        <f t="shared" si="46"/>
        <v>0</v>
      </c>
      <c r="I157" s="364" t="str">
        <f>I117</f>
        <v>Erhvervsøkonomi</v>
      </c>
      <c r="J157" s="365" t="str">
        <f t="shared" si="44"/>
        <v xml:space="preserve"> </v>
      </c>
      <c r="M157" s="65"/>
    </row>
    <row r="158" spans="1:13" x14ac:dyDescent="0.25">
      <c r="A158" s="58">
        <f>IF(AND(A116="Matematik",B116="A"),0,1)</f>
        <v>1</v>
      </c>
      <c r="B158" s="58"/>
      <c r="C158" s="58"/>
      <c r="E158" s="7">
        <v>6</v>
      </c>
      <c r="F158" s="364" t="str">
        <f>IF(OR(AND($A$116=I158,$C$116=75),AND($A$86=I158,$C$86=75),AND($A$80=I158,$C$80=75)),"",IF(AND(OR($A$5=$E$20),$B$34="B"),I158,""))</f>
        <v/>
      </c>
      <c r="G158" s="7" t="str">
        <f t="shared" si="45"/>
        <v/>
      </c>
      <c r="H158" s="7">
        <f t="shared" si="46"/>
        <v>0</v>
      </c>
      <c r="I158" s="364" t="str">
        <f>I118</f>
        <v>Filosofi</v>
      </c>
      <c r="J158" s="365" t="str">
        <f t="shared" si="44"/>
        <v xml:space="preserve"> </v>
      </c>
      <c r="M158" s="65"/>
    </row>
    <row r="159" spans="1:13" x14ac:dyDescent="0.25">
      <c r="A159" s="58"/>
      <c r="B159" s="58"/>
      <c r="C159" s="58"/>
      <c r="E159" s="7">
        <v>7</v>
      </c>
      <c r="F159" s="364" t="str">
        <f>IF(AND($A$85=$E$91,$A$5=3),"",IF(AND($A$5=3,A33=E38),I159,""))</f>
        <v/>
      </c>
      <c r="G159" s="7" t="str">
        <f t="shared" si="45"/>
        <v/>
      </c>
      <c r="H159" s="7">
        <f t="shared" si="46"/>
        <v>0</v>
      </c>
      <c r="I159" s="364" t="str">
        <f>IF(A116=F120,"",I134)</f>
        <v>Latin</v>
      </c>
      <c r="J159" s="365" t="str">
        <f t="shared" si="44"/>
        <v xml:space="preserve"> </v>
      </c>
      <c r="M159" s="65"/>
    </row>
    <row r="160" spans="1:13" x14ac:dyDescent="0.25">
      <c r="A160" s="24">
        <f>IF(A116="VÆLG",0,IF(A116="Matematik",0,IF(A116="International økonomi",0,IF(A116="Tysk",0,1))))</f>
        <v>0</v>
      </c>
      <c r="B160" s="24"/>
      <c r="C160" s="24"/>
      <c r="D160" s="17"/>
      <c r="E160" s="7">
        <v>8</v>
      </c>
      <c r="F160" s="364" t="str">
        <f>IF(OR(AND($A$116=I160,$C$116=75),AND($A$86=I160,$C$86=75),AND($A$80=I160,$C$80=75)),"",IF(AND(OR($A$5=$E$20),$B$34="B"),I160,""))</f>
        <v/>
      </c>
      <c r="G160" s="7" t="str">
        <f t="shared" si="45"/>
        <v/>
      </c>
      <c r="H160" s="7">
        <f t="shared" si="46"/>
        <v>0</v>
      </c>
      <c r="I160" s="364" t="str">
        <f>I121</f>
        <v>Mediefag</v>
      </c>
      <c r="J160" s="365" t="str">
        <f t="shared" si="44"/>
        <v xml:space="preserve"> </v>
      </c>
      <c r="M160" s="65"/>
    </row>
    <row r="161" spans="1:13" x14ac:dyDescent="0.25">
      <c r="A161" s="24">
        <f>IF(A5=2,0,1)</f>
        <v>1</v>
      </c>
      <c r="B161" s="24"/>
      <c r="C161" s="24"/>
      <c r="D161" s="17"/>
      <c r="E161" s="7">
        <v>9</v>
      </c>
      <c r="F161" s="364" t="str">
        <f>IF(OR(AND($A$116=I161,$C$116=75),AND($A$86=I161,$C$86=75),AND($A$80=I161,$C$80=75)),"",IF(AND(OR($A$5=$E$20),$B$34="B"),I161,""))</f>
        <v/>
      </c>
      <c r="G161" s="7" t="str">
        <f t="shared" si="45"/>
        <v/>
      </c>
      <c r="H161" s="7">
        <f t="shared" si="46"/>
        <v>0</v>
      </c>
      <c r="I161" s="364" t="str">
        <f>I122</f>
        <v>Musik</v>
      </c>
      <c r="J161" s="365" t="str">
        <f t="shared" si="44"/>
        <v xml:space="preserve"> </v>
      </c>
      <c r="M161" s="65"/>
    </row>
    <row r="162" spans="1:13" x14ac:dyDescent="0.25">
      <c r="A162" s="22" t="s">
        <v>24</v>
      </c>
      <c r="B162" s="22"/>
      <c r="C162" s="22"/>
      <c r="D162" s="17"/>
      <c r="E162" s="7">
        <v>10</v>
      </c>
      <c r="F162" s="364" t="str">
        <f>IF(OR(AND($A$116=I162,$C$116=75),AND($A$86=I162,$C$86=75),AND($A$80=I162,$C$80=75)),"",IF(AND(OR($A$5=$E$20),$B$34="B"),I162,""))</f>
        <v/>
      </c>
      <c r="G162" s="7" t="str">
        <f t="shared" si="45"/>
        <v/>
      </c>
      <c r="H162" s="7">
        <f t="shared" si="46"/>
        <v>0</v>
      </c>
      <c r="I162" s="364" t="str">
        <f>I124</f>
        <v>Psykologi</v>
      </c>
      <c r="J162" s="365" t="str">
        <f t="shared" si="44"/>
        <v xml:space="preserve"> </v>
      </c>
    </row>
    <row r="163" spans="1:13" x14ac:dyDescent="0.25">
      <c r="D163" s="17"/>
      <c r="E163" s="7">
        <v>11</v>
      </c>
      <c r="F163" s="364" t="str">
        <f>IF(OR(AND($A$116=I163,$C$116=75),AND($A$86=I163,$C$86=75),AND($A$80=I163,$C$80=75)),"",IF(AND(OR($A$5=$E$20),$B$34="B"),I163,""))</f>
        <v/>
      </c>
      <c r="G163" s="7" t="str">
        <f t="shared" si="45"/>
        <v/>
      </c>
      <c r="H163" s="7">
        <f t="shared" si="46"/>
        <v>0</v>
      </c>
      <c r="I163" s="364" t="str">
        <f>I125</f>
        <v>Statistik</v>
      </c>
      <c r="J163" s="365" t="str">
        <f t="shared" si="44"/>
        <v xml:space="preserve"> </v>
      </c>
    </row>
    <row r="164" spans="1:13" x14ac:dyDescent="0.25">
      <c r="E164" s="7">
        <v>12</v>
      </c>
      <c r="F164" s="384" t="str">
        <f>IF(OR($A$5=$E$19,$A$5=$E$20,$A$5=$E$21,$A$5=$E$22,$A$5=$E$23,$A$5=$E$24,$A$5=$E$25,$A$5=$E$27,$A$5=$E$28,AND($A$116=I164,$C$116=125),AND($A$86=I164,$C$86=125)),"",IF(AND(OR($A$5=$E$29),$B$34="A"),"",IF(OR($A$80=I164,$A$86=I164),I164,"")))</f>
        <v/>
      </c>
      <c r="G164" s="7" t="str">
        <f>IF(F164="","","B")</f>
        <v/>
      </c>
      <c r="H164" s="7">
        <f>IF(G164="",0,125)</f>
        <v>0</v>
      </c>
      <c r="I164" s="383" t="str">
        <f>I126</f>
        <v>Billedkunst</v>
      </c>
      <c r="J164" s="175" t="str">
        <f t="shared" si="44"/>
        <v xml:space="preserve"> </v>
      </c>
      <c r="L164" s="163"/>
    </row>
    <row r="165" spans="1:13" x14ac:dyDescent="0.25">
      <c r="E165" s="7">
        <v>13</v>
      </c>
      <c r="F165" s="384" t="str">
        <f>IF(OR($A$5=$E$19,$A$5=$E$20,$A$5=$E$21,$A$5=$E$22,$A$5=$E$23,$A$5=$E$24,$A$5=$E$25,$A$5=$E$27,$A$5=$E$28,AND($A$116=I165,$C$116=125),AND($A$86=I165,$C$86=125)),"",IF(AND(OR($A$5=$E$29),$B$34="A"),"",IF(OR($A$80=I165,$A$86=I165),I165,"")))</f>
        <v/>
      </c>
      <c r="G165" s="7" t="str">
        <f t="shared" ref="G165:G174" si="47">IF(F165="","","B")</f>
        <v/>
      </c>
      <c r="H165" s="7">
        <f t="shared" ref="H165:H171" si="48">IF(G165="",0,125)</f>
        <v>0</v>
      </c>
      <c r="I165" s="383" t="str">
        <f>I128</f>
        <v>Dramatik</v>
      </c>
      <c r="J165" s="175" t="str">
        <f t="shared" si="44"/>
        <v xml:space="preserve"> </v>
      </c>
    </row>
    <row r="166" spans="1:13" x14ac:dyDescent="0.25">
      <c r="E166" s="7">
        <v>14</v>
      </c>
      <c r="F166" s="384" t="str">
        <f>IF(OR($A$5=$E$19,$A$5=$E$20,$A$5=$E$21,$A$5=$E$22,$A$5=$E$23,$A$5=$E$24,$A$5=$E$25,$A$5=$E$27,$A$5=$E$28,AND($A$116=I166,$C$116=125),AND($A$86=I166,$C$86=125)),"",IF(AND(OR($A$5=$E$29),$B$34="A"),"",IF(OR($A$80=I166,$A$86=I166),I166,"")))</f>
        <v/>
      </c>
      <c r="G166" s="7" t="str">
        <f t="shared" si="47"/>
        <v/>
      </c>
      <c r="H166" s="7">
        <f t="shared" si="48"/>
        <v>0</v>
      </c>
      <c r="I166" s="383" t="str">
        <f>I129</f>
        <v>Filosofi</v>
      </c>
      <c r="J166" s="175" t="str">
        <f t="shared" si="44"/>
        <v xml:space="preserve"> </v>
      </c>
      <c r="L166" s="163"/>
    </row>
    <row r="167" spans="1:13" x14ac:dyDescent="0.25">
      <c r="E167" s="7">
        <v>15</v>
      </c>
      <c r="F167" s="384" t="str">
        <f>IF($A$5=$E$26,I167,IF(OR($A$5=$E$19,$A$5=$E$20,$A$5=$E$21,$A$5=$E$22,$A$5=$E$23,$A$5=$E$24,$A$5=$E$25,$A$5=$E$27,$A$5=$E$28,AND($A$116=I167,$C$116=125),AND($A$86=I167,$C$86=125)),"",IF(AND(OR($A$5=$E$29),$B$34="A"),"",IF(OR($A$80=I167,$A$86=I167,A5=E26,AND(A5=E29,B34="B")),I167,""))))</f>
        <v/>
      </c>
      <c r="G167" s="7" t="str">
        <f t="shared" si="47"/>
        <v/>
      </c>
      <c r="H167" s="7">
        <f t="shared" si="48"/>
        <v>0</v>
      </c>
      <c r="I167" s="383" t="str">
        <f>I131</f>
        <v>Idræt</v>
      </c>
      <c r="J167" s="175" t="str">
        <f t="shared" si="44"/>
        <v xml:space="preserve"> </v>
      </c>
      <c r="L167" s="163"/>
    </row>
    <row r="168" spans="1:13" x14ac:dyDescent="0.25">
      <c r="E168" s="7">
        <v>16</v>
      </c>
      <c r="F168" s="384" t="str">
        <f>IF(OR($A$5=$E$19,$A$5=$E$20,$A$5=$E$21,$A$5=$E$22,$A$5=$E$23,$A$5=$E$24,$A$5=$E$25,$A$5=$E$27,$A$5=$E$28,AND($A$116=I168,$C$116=125),AND($A$86=I168,$C$86=125)),"",IF(AND(OR($A$5=$E$29),$B$34="A"),"",IF(OR($A$80=I168,$A$86=I168),I168,"")))</f>
        <v/>
      </c>
      <c r="G168" s="7" t="str">
        <f t="shared" si="47"/>
        <v/>
      </c>
      <c r="H168" s="7">
        <f t="shared" si="48"/>
        <v>0</v>
      </c>
      <c r="I168" s="383" t="str">
        <f>I134</f>
        <v>Latin</v>
      </c>
      <c r="J168" s="175" t="str">
        <f t="shared" si="44"/>
        <v xml:space="preserve"> </v>
      </c>
      <c r="L168" s="163"/>
    </row>
    <row r="169" spans="1:13" x14ac:dyDescent="0.25">
      <c r="E169" s="7">
        <v>17</v>
      </c>
      <c r="F169" s="384" t="str">
        <f>IF(OR($A$5=$E$19,$A$5=$E$21,$A$85=$E$102,A116=F135),"",IF($A$5=$E$26,I169,""))</f>
        <v/>
      </c>
      <c r="G169" s="7" t="str">
        <f t="shared" ref="G169" si="49">IF(F169="","","B")</f>
        <v/>
      </c>
      <c r="H169" s="7">
        <f t="shared" ref="H169" si="50">IF(G169="",0,125)</f>
        <v>0</v>
      </c>
      <c r="I169" s="383" t="str">
        <f>I135</f>
        <v>Matematik</v>
      </c>
      <c r="J169" s="175" t="str">
        <f t="shared" si="44"/>
        <v xml:space="preserve"> </v>
      </c>
      <c r="L169" s="163"/>
    </row>
    <row r="170" spans="1:13" x14ac:dyDescent="0.25">
      <c r="E170" s="7">
        <v>18</v>
      </c>
      <c r="F170" s="384" t="str">
        <f>IF(OR($A$5=$E$19,$A$5=$E$20,$A$5=$E$21,$A$5=$E$22,$A$5=$E$23,$A$5=$E$24,$A$5=$E$25,$A$5=$E$27,$A$5=$E$28,AND($A$116=I170,$C$116=125),AND($A$86=I170,$C$86=125)),"",IF(AND(OR($A$5=$E$29),$B$34="A"),"",IF(OR($A$80=I170,$A$86=I170),I170,"")))</f>
        <v/>
      </c>
      <c r="G170" s="7" t="str">
        <f t="shared" si="47"/>
        <v/>
      </c>
      <c r="H170" s="7">
        <f t="shared" si="48"/>
        <v>0</v>
      </c>
      <c r="I170" s="383" t="str">
        <f>I136</f>
        <v>Mediefag</v>
      </c>
      <c r="J170" s="175" t="str">
        <f t="shared" si="44"/>
        <v xml:space="preserve"> </v>
      </c>
      <c r="L170" s="163"/>
    </row>
    <row r="171" spans="1:13" x14ac:dyDescent="0.25">
      <c r="E171" s="7">
        <v>19</v>
      </c>
      <c r="F171" s="384" t="str">
        <f>IF(OR($A$5=$E$19,$A$5=$E$20,$A$5=$E$21,$A$5=$E$22,$A$5=$E$23,$A$5=$E$24,$A$5=$E$25,$A$5=$E$27,$A$5=$E$28,AND($A$116=I171,$C$116=125),AND($A$86=I171,$C$86=125),$A$5=$E$29),"",IF(OR($A$80=I171,$A$86=I171),I171,""))</f>
        <v/>
      </c>
      <c r="G171" s="7" t="str">
        <f t="shared" si="47"/>
        <v/>
      </c>
      <c r="H171" s="7">
        <f t="shared" si="48"/>
        <v>0</v>
      </c>
      <c r="I171" s="383" t="str">
        <f>I137</f>
        <v>Musik</v>
      </c>
      <c r="J171" s="175" t="str">
        <f t="shared" si="44"/>
        <v xml:space="preserve"> </v>
      </c>
      <c r="L171" s="163"/>
    </row>
    <row r="172" spans="1:13" x14ac:dyDescent="0.25">
      <c r="E172" s="7">
        <v>20</v>
      </c>
      <c r="F172" s="384" t="str">
        <f>IF(OR($A$5=$E$19,$A$5=$E$20,$A$5=$E$21,$A$5=$E$22,$A$5=$E$23,$A$5=$E$24,$A$5=$E$25,$A$5=$E$27,$A$5=$E$28,AND($A$116=I172,$C$116=125),AND($A$86=I172,$C$86=125)),"",IF(AND(OR($A$5=$E$29),$B$34="A"),"",IF(OR($A$80=I172,$A$86=I172),I172,"")))</f>
        <v/>
      </c>
      <c r="G172" s="7" t="str">
        <f t="shared" si="47"/>
        <v/>
      </c>
      <c r="H172" s="7">
        <f t="shared" ref="H172:H180" si="51">IF(G172="",0,125)</f>
        <v>0</v>
      </c>
      <c r="I172" s="383" t="str">
        <f t="shared" ref="I172:I174" si="52">I139</f>
        <v>Psykologi</v>
      </c>
      <c r="J172" s="175" t="str">
        <f t="shared" si="44"/>
        <v xml:space="preserve"> </v>
      </c>
      <c r="L172" s="163"/>
    </row>
    <row r="173" spans="1:13" x14ac:dyDescent="0.25">
      <c r="E173" s="7">
        <v>21</v>
      </c>
      <c r="F173" s="384" t="str">
        <f>IF(OR($A$5=$E$19,$A$5=$E$20,$A$5=$E$21,$A$5=$E$22,$A$5=$E$23,$A$5=$E$24,$A$5=$E$25,$A$5=$E$27,$A$5=$E$28,AND($A$116=I173,$C$116=125),AND($A$86=I173,$C$86=125)),"",IF(AND($A$5=$E$29,$B$34="A"),"",IF(OR($A$80=I173,$A$86=I173,A5=E26,AND(A5=E29,B34="B")),I173,"")))</f>
        <v/>
      </c>
      <c r="G173" s="7" t="str">
        <f t="shared" si="47"/>
        <v/>
      </c>
      <c r="H173" s="7">
        <f t="shared" si="51"/>
        <v>0</v>
      </c>
      <c r="I173" s="383" t="str">
        <f t="shared" si="52"/>
        <v>Religion</v>
      </c>
      <c r="J173" s="175" t="str">
        <f t="shared" si="44"/>
        <v xml:space="preserve"> </v>
      </c>
      <c r="L173" s="163"/>
    </row>
    <row r="174" spans="1:13" x14ac:dyDescent="0.25">
      <c r="E174" s="7">
        <v>22</v>
      </c>
      <c r="F174" s="384" t="str">
        <f>IF(OR($A$5=$E$19,$A$5=$E$20,$A$5=$E$21,$A$5=$E$22,$A$5=$E$23,$A$5=$E$24,$A$5=$E$25,$A$5=$E$27,$A$5=$E$28,AND($A$116=I174,$C$116=125),AND($A$86=I174,$C$86=125)),"",IF(AND(OR($A$5=$E$29),$B$34="A"),"",IF(OR($A$80=I174,$A$86=I174,A5=E26,AND(A5=E29,B34="B")),I174,"")))</f>
        <v/>
      </c>
      <c r="G174" s="7" t="str">
        <f t="shared" si="47"/>
        <v/>
      </c>
      <c r="H174" s="7">
        <f t="shared" si="51"/>
        <v>0</v>
      </c>
      <c r="I174" s="383" t="str">
        <f t="shared" si="52"/>
        <v>Samfundsfag</v>
      </c>
      <c r="J174" s="175" t="str">
        <f t="shared" si="44"/>
        <v xml:space="preserve"> </v>
      </c>
      <c r="L174" s="163"/>
    </row>
    <row r="175" spans="1:13" x14ac:dyDescent="0.25">
      <c r="E175" s="7">
        <v>23</v>
      </c>
      <c r="F175" s="384" t="str">
        <f>IF(A115=E142,"",IF(AND(A5=E29,B34="B",OR(A50=E55,A62=E67)),I175,""))</f>
        <v/>
      </c>
      <c r="G175" s="7" t="str">
        <f>IF(F175="","","A")</f>
        <v/>
      </c>
      <c r="H175" s="7">
        <f t="shared" ref="H175" si="53">IF(G175="",0,125)</f>
        <v>0</v>
      </c>
      <c r="I175" s="383" t="str">
        <f>I50</f>
        <v>Biologi</v>
      </c>
      <c r="J175" s="175" t="str">
        <f t="shared" si="44"/>
        <v xml:space="preserve"> </v>
      </c>
      <c r="L175" s="163"/>
    </row>
    <row r="176" spans="1:13" x14ac:dyDescent="0.25">
      <c r="E176" s="7">
        <v>24</v>
      </c>
      <c r="F176" s="386" t="str">
        <f>IF($A$115=E143,"",IF(AND(OR($A$5=$E$21),$B$34="B"),I176,""))</f>
        <v/>
      </c>
      <c r="G176" s="7" t="str">
        <f>IF(F176="","","A")</f>
        <v/>
      </c>
      <c r="H176" s="7">
        <f t="shared" si="51"/>
        <v>0</v>
      </c>
      <c r="I176" s="387" t="str">
        <f>I143</f>
        <v>Engelsk</v>
      </c>
      <c r="J176" s="365" t="str">
        <f t="shared" si="44"/>
        <v xml:space="preserve"> </v>
      </c>
      <c r="L176" s="163"/>
    </row>
    <row r="177" spans="1:12" x14ac:dyDescent="0.25">
      <c r="E177" s="7">
        <v>25</v>
      </c>
      <c r="F177" s="386" t="str">
        <f>IF($A$115=E144,"",IF(AND(OR($A$5=$E$21,$A$5=$E$26,$A$5=$E$29),$A$34=I34),I177,""))</f>
        <v/>
      </c>
      <c r="G177" s="7" t="str">
        <f t="shared" ref="G177:G180" si="54">IF(F177="","","A")</f>
        <v/>
      </c>
      <c r="H177" s="7">
        <f t="shared" si="51"/>
        <v>0</v>
      </c>
      <c r="I177" s="387" t="str">
        <f>I144</f>
        <v>Fransk</v>
      </c>
      <c r="J177" s="365" t="str">
        <f t="shared" si="44"/>
        <v xml:space="preserve"> </v>
      </c>
      <c r="L177" s="6"/>
    </row>
    <row r="178" spans="1:12" x14ac:dyDescent="0.25">
      <c r="E178" s="7">
        <v>26</v>
      </c>
      <c r="F178" s="386" t="str">
        <f>IF($A$115=E146,"",IF(OR(AND(A5=E29,B34="B",OR(A50=E57,A62=E70)),AND(OR($A$5=$E$21),$B$34="B")),I178,""))</f>
        <v/>
      </c>
      <c r="G178" s="7" t="str">
        <f t="shared" si="54"/>
        <v/>
      </c>
      <c r="H178" s="7">
        <f t="shared" si="51"/>
        <v>0</v>
      </c>
      <c r="I178" s="385" t="str">
        <f>I146</f>
        <v>Kemi</v>
      </c>
      <c r="J178" s="365" t="str">
        <f t="shared" si="44"/>
        <v xml:space="preserve"> </v>
      </c>
      <c r="L178" s="6"/>
    </row>
    <row r="179" spans="1:12" x14ac:dyDescent="0.25">
      <c r="E179" s="7">
        <v>27</v>
      </c>
      <c r="F179" s="386" t="str">
        <f>IF(AND(E29=A5,B34="A"),"",IF($A$115=E147,"",IF(AND($A$5=$E$26,$A$85=$E$102),I147,IF(AND(A5=E26,OR(B86="C",A85=E97,A85=E99,A85=E101,A85=E103,A85=E104,A85=E106)),"",IF(AND(OR(AND($A$5=$E$21,B34="B"),$A$5=$E$26,$A$5=$E$29)),I179,"")))))</f>
        <v/>
      </c>
      <c r="G179" s="7" t="str">
        <f t="shared" si="54"/>
        <v/>
      </c>
      <c r="H179" s="7">
        <f t="shared" si="51"/>
        <v>0</v>
      </c>
      <c r="I179" s="385" t="str">
        <f>I147</f>
        <v>Matematik</v>
      </c>
      <c r="J179" s="365" t="str">
        <f t="shared" si="44"/>
        <v xml:space="preserve"> </v>
      </c>
      <c r="L179" s="6"/>
    </row>
    <row r="180" spans="1:12" x14ac:dyDescent="0.25">
      <c r="E180" s="7">
        <v>28</v>
      </c>
      <c r="F180" s="386" t="str">
        <f>IF($A$115=E150,"",IF(AND(OR($A$5=$E$21,$A$5=$E$26,$A$5=$E$29),$A$34=I180),I180,IF($A$5=9,I150,"")))</f>
        <v/>
      </c>
      <c r="G180" s="7" t="str">
        <f t="shared" si="54"/>
        <v/>
      </c>
      <c r="H180" s="7">
        <f t="shared" si="51"/>
        <v>0</v>
      </c>
      <c r="I180" s="387" t="str">
        <f>I150</f>
        <v>Tysk</v>
      </c>
      <c r="J180" s="365" t="str">
        <f t="shared" si="44"/>
        <v xml:space="preserve"> </v>
      </c>
      <c r="L180" s="6"/>
    </row>
    <row r="181" spans="1:12" x14ac:dyDescent="0.25">
      <c r="F181" s="313"/>
      <c r="H181" s="7"/>
      <c r="I181" s="19"/>
    </row>
    <row r="182" spans="1:12" x14ac:dyDescent="0.25">
      <c r="F182" s="313"/>
      <c r="H182" s="7"/>
      <c r="I182" s="315"/>
    </row>
    <row r="183" spans="1:12" x14ac:dyDescent="0.25">
      <c r="F183" s="313"/>
      <c r="H183" s="315"/>
    </row>
    <row r="184" spans="1:12" x14ac:dyDescent="0.25">
      <c r="A184" s="8" t="str">
        <f>A6</f>
        <v>VÆLG</v>
      </c>
      <c r="B184" s="18">
        <f>A5</f>
        <v>1</v>
      </c>
      <c r="E184" s="38" t="s">
        <v>196</v>
      </c>
      <c r="F184" s="37" t="s">
        <v>197</v>
      </c>
      <c r="G184" s="37" t="s">
        <v>198</v>
      </c>
      <c r="H184" s="38" t="s">
        <v>119</v>
      </c>
      <c r="I184" s="38" t="s">
        <v>199</v>
      </c>
      <c r="J184" s="38" t="s">
        <v>200</v>
      </c>
      <c r="K184" s="6"/>
    </row>
    <row r="185" spans="1:12" x14ac:dyDescent="0.25">
      <c r="A185" s="7" t="str">
        <f t="shared" ref="A185:C187" si="55">A19</f>
        <v xml:space="preserve"> </v>
      </c>
      <c r="B185" s="7" t="str">
        <f t="shared" si="55"/>
        <v xml:space="preserve"> </v>
      </c>
      <c r="C185" s="7">
        <f t="shared" si="55"/>
        <v>0</v>
      </c>
      <c r="D185" s="36">
        <f>IF(A188=A185,0,IF(A185="",0,1))</f>
        <v>1</v>
      </c>
      <c r="E185" s="55">
        <f>IF(A188=A185,0,IF(CODE((B185))-64=1,1,0))</f>
        <v>0</v>
      </c>
      <c r="F185" s="413">
        <f t="shared" ref="F185:F194" si="56">IF(D185=0,0,IF(CODE((B185))-65=1,1,0))</f>
        <v>0</v>
      </c>
      <c r="G185" s="414">
        <f t="shared" ref="G185:G194" si="57">IF(D185=0,0,IF(CODE((B185))-66=1,1,0))</f>
        <v>0</v>
      </c>
      <c r="H185" s="444">
        <f>IF(D185=0,0,IF(ISNA(VLOOKUP(A185,K$185:K$192,1,)),0,1))</f>
        <v>0</v>
      </c>
      <c r="I185" s="444">
        <f t="shared" ref="I185:I200" si="58">IF(D185=0,0,IF(ISNA(VLOOKUP(A185,K$194:K$199,1,)),0,1))</f>
        <v>0</v>
      </c>
      <c r="J185" s="446">
        <f>IF(AND(I185=1,OR(B185="A",B185="B")),1,0)</f>
        <v>0</v>
      </c>
      <c r="K185" s="443" t="s">
        <v>67</v>
      </c>
      <c r="L185">
        <f>SUM(D185:G185)</f>
        <v>1</v>
      </c>
    </row>
    <row r="186" spans="1:12" x14ac:dyDescent="0.25">
      <c r="A186" s="7" t="str">
        <f t="shared" si="55"/>
        <v xml:space="preserve"> </v>
      </c>
      <c r="B186" s="7" t="str">
        <f t="shared" si="55"/>
        <v xml:space="preserve"> </v>
      </c>
      <c r="C186" s="7">
        <f t="shared" si="55"/>
        <v>0</v>
      </c>
      <c r="D186" s="422">
        <f>IF(ISNA(VLOOKUP(A186,A$191:A$196,1,)),1,0)</f>
        <v>1</v>
      </c>
      <c r="E186" s="55">
        <f>IF(CODE((B186))-64=1,1,0)</f>
        <v>0</v>
      </c>
      <c r="F186" s="413">
        <f t="shared" si="56"/>
        <v>0</v>
      </c>
      <c r="G186" s="414">
        <f t="shared" si="57"/>
        <v>0</v>
      </c>
      <c r="H186" s="444">
        <f t="shared" ref="H186:H205" si="59">IF(D186=0,0,IF(ISNA(VLOOKUP(A186,K$185:K$192,1,)),0,1))</f>
        <v>0</v>
      </c>
      <c r="I186" s="444">
        <f t="shared" si="58"/>
        <v>0</v>
      </c>
      <c r="J186" s="446">
        <f t="shared" ref="J186:J205" si="60">IF(AND(I186=1,OR(B186="A",B186="B")),1,0)</f>
        <v>0</v>
      </c>
      <c r="K186" s="443" t="s">
        <v>68</v>
      </c>
      <c r="L186">
        <f t="shared" ref="L186:L205" si="61">SUM(D186:G186)</f>
        <v>1</v>
      </c>
    </row>
    <row r="187" spans="1:12" x14ac:dyDescent="0.25">
      <c r="A187" s="7" t="str">
        <f t="shared" si="55"/>
        <v xml:space="preserve"> </v>
      </c>
      <c r="B187" s="7" t="str">
        <f t="shared" si="55"/>
        <v xml:space="preserve"> </v>
      </c>
      <c r="C187" s="7" t="str">
        <f t="shared" si="55"/>
        <v xml:space="preserve"> </v>
      </c>
      <c r="D187" s="422">
        <f>IF(A21=" ",0,IF(ISNA(VLOOKUP(A187,A$191:A$196,1,)),1,0))</f>
        <v>0</v>
      </c>
      <c r="E187" s="55">
        <f>IF(CODE((B187))-64=1,1,0)</f>
        <v>0</v>
      </c>
      <c r="F187" s="413">
        <f t="shared" si="56"/>
        <v>0</v>
      </c>
      <c r="G187" s="414">
        <f t="shared" si="57"/>
        <v>0</v>
      </c>
      <c r="H187" s="444">
        <f t="shared" si="59"/>
        <v>0</v>
      </c>
      <c r="I187" s="444">
        <f t="shared" si="58"/>
        <v>0</v>
      </c>
      <c r="J187" s="446">
        <f t="shared" si="60"/>
        <v>0</v>
      </c>
      <c r="K187" s="443" t="s">
        <v>113</v>
      </c>
      <c r="L187">
        <f t="shared" si="61"/>
        <v>0</v>
      </c>
    </row>
    <row r="188" spans="1:12" x14ac:dyDescent="0.25">
      <c r="A188" s="415" t="str">
        <f>IF(A33=1,"",A34)</f>
        <v/>
      </c>
      <c r="B188" s="415" t="str">
        <f>IF(B33=1,"",B34)</f>
        <v/>
      </c>
      <c r="C188" s="415">
        <f>IF(C33=1,"",C34)</f>
        <v>0</v>
      </c>
      <c r="D188" s="432">
        <f>IF(OR(AND(A188=F34,A195=F33),A195=A188),0,IF(A188=A194,0,IF(A186=A188,0,IF(A188="",0,1))))</f>
        <v>0</v>
      </c>
      <c r="E188" s="418">
        <f>IF(D188=0,0,IF(B188="",0,IF(CODE((B188))-64=1,1,0)))</f>
        <v>0</v>
      </c>
      <c r="F188" s="419">
        <f t="shared" si="56"/>
        <v>0</v>
      </c>
      <c r="G188" s="433">
        <f t="shared" si="57"/>
        <v>0</v>
      </c>
      <c r="H188" s="444">
        <f t="shared" si="59"/>
        <v>0</v>
      </c>
      <c r="I188" s="444">
        <f t="shared" si="58"/>
        <v>0</v>
      </c>
      <c r="J188" s="446">
        <f t="shared" si="60"/>
        <v>0</v>
      </c>
      <c r="K188" s="443" t="s">
        <v>112</v>
      </c>
      <c r="L188">
        <f t="shared" si="61"/>
        <v>0</v>
      </c>
    </row>
    <row r="189" spans="1:12" x14ac:dyDescent="0.25">
      <c r="A189" s="415" t="str">
        <f>IF(A42=1,"",A43)</f>
        <v/>
      </c>
      <c r="B189" s="416" t="str">
        <f>B43</f>
        <v/>
      </c>
      <c r="C189" s="416">
        <f>C43</f>
        <v>0</v>
      </c>
      <c r="D189" s="417">
        <f>IF(OR(A195=I177,A196=I177,C43=0),0,IF(ISNA(VLOOKUP(A189,A$190:A$196,1,)),1,0))</f>
        <v>0</v>
      </c>
      <c r="E189" s="418">
        <f t="shared" ref="E189:E194" si="62">IF(B189="",0,IF(CODE((B189))-64=1,1,0))</f>
        <v>0</v>
      </c>
      <c r="F189" s="419">
        <f t="shared" si="56"/>
        <v>0</v>
      </c>
      <c r="G189" s="420">
        <f t="shared" si="57"/>
        <v>0</v>
      </c>
      <c r="H189" s="444">
        <f t="shared" si="59"/>
        <v>0</v>
      </c>
      <c r="I189" s="444">
        <f t="shared" si="58"/>
        <v>0</v>
      </c>
      <c r="J189" s="446">
        <f t="shared" si="60"/>
        <v>0</v>
      </c>
      <c r="K189" s="443" t="s">
        <v>9</v>
      </c>
      <c r="L189">
        <f t="shared" si="61"/>
        <v>0</v>
      </c>
    </row>
    <row r="190" spans="1:12" x14ac:dyDescent="0.25">
      <c r="A190" s="160" t="str">
        <f>IF(A50=1,"",A51)</f>
        <v/>
      </c>
      <c r="B190" s="421" t="str">
        <f>B51</f>
        <v/>
      </c>
      <c r="C190" s="421">
        <f>C51</f>
        <v>0</v>
      </c>
      <c r="D190" s="422">
        <f>IF(ISNA(VLOOKUP(A190,A$191:A$196,1,)),1,0)</f>
        <v>0</v>
      </c>
      <c r="E190" s="423">
        <f t="shared" si="62"/>
        <v>0</v>
      </c>
      <c r="F190" s="424">
        <f t="shared" si="56"/>
        <v>0</v>
      </c>
      <c r="G190" s="425">
        <f t="shared" si="57"/>
        <v>0</v>
      </c>
      <c r="H190" s="444">
        <f t="shared" si="59"/>
        <v>0</v>
      </c>
      <c r="I190" s="444">
        <f t="shared" si="58"/>
        <v>0</v>
      </c>
      <c r="J190" s="446">
        <f t="shared" si="60"/>
        <v>0</v>
      </c>
      <c r="K190" s="443" t="s">
        <v>8</v>
      </c>
      <c r="L190">
        <f t="shared" si="61"/>
        <v>0</v>
      </c>
    </row>
    <row r="191" spans="1:12" x14ac:dyDescent="0.25">
      <c r="A191" s="426" t="str">
        <f>IF(A62=1,"",A63)</f>
        <v/>
      </c>
      <c r="B191" s="427" t="str">
        <f>B63</f>
        <v/>
      </c>
      <c r="C191" s="427">
        <f>C63</f>
        <v>0</v>
      </c>
      <c r="D191" s="428">
        <f>IF(C63=0,0,IF(ISNA(VLOOKUP(A191,A$193:A$195,1,)),1,0))</f>
        <v>0</v>
      </c>
      <c r="E191" s="429">
        <f>IF(B191="",0,IF(CODE((B191))-64=1,1,0))</f>
        <v>0</v>
      </c>
      <c r="F191" s="430">
        <f t="shared" si="56"/>
        <v>0</v>
      </c>
      <c r="G191" s="431">
        <f t="shared" si="57"/>
        <v>0</v>
      </c>
      <c r="H191" s="444">
        <f t="shared" si="59"/>
        <v>0</v>
      </c>
      <c r="I191" s="444">
        <f t="shared" si="58"/>
        <v>0</v>
      </c>
      <c r="J191" s="446">
        <f t="shared" si="60"/>
        <v>0</v>
      </c>
      <c r="K191" s="12" t="s">
        <v>81</v>
      </c>
      <c r="L191">
        <f t="shared" si="61"/>
        <v>0</v>
      </c>
    </row>
    <row r="192" spans="1:12" x14ac:dyDescent="0.25">
      <c r="A192" s="160" t="str">
        <f>IF(A79=1,"",A80)</f>
        <v/>
      </c>
      <c r="B192" s="160" t="str">
        <f>B80</f>
        <v/>
      </c>
      <c r="C192" s="160">
        <f>C80</f>
        <v>0</v>
      </c>
      <c r="D192" s="422">
        <f>IF(ISNA(VLOOKUP(A192,A$193:A$196,1,)),1,0)</f>
        <v>0</v>
      </c>
      <c r="E192" s="423">
        <f t="shared" si="62"/>
        <v>0</v>
      </c>
      <c r="F192" s="424">
        <f t="shared" si="56"/>
        <v>0</v>
      </c>
      <c r="G192" s="435">
        <f t="shared" si="57"/>
        <v>0</v>
      </c>
      <c r="H192" s="444">
        <f t="shared" si="59"/>
        <v>0</v>
      </c>
      <c r="I192" s="444">
        <f t="shared" si="58"/>
        <v>0</v>
      </c>
      <c r="J192" s="446">
        <f t="shared" si="60"/>
        <v>0</v>
      </c>
      <c r="K192" s="443" t="s">
        <v>2</v>
      </c>
      <c r="L192">
        <f t="shared" si="61"/>
        <v>0</v>
      </c>
    </row>
    <row r="193" spans="1:12" x14ac:dyDescent="0.25">
      <c r="A193" s="415" t="str">
        <f>IF(A85=1,"",A86)</f>
        <v/>
      </c>
      <c r="B193" s="416" t="str">
        <f>B86</f>
        <v/>
      </c>
      <c r="C193" s="416">
        <f>C86</f>
        <v>0</v>
      </c>
      <c r="D193" s="432">
        <f>IF(C86=0,0,IF(OR(A195=A193,A193=A196),0,IF(A193="",0,1)))</f>
        <v>0</v>
      </c>
      <c r="E193" s="418">
        <f t="shared" si="62"/>
        <v>0</v>
      </c>
      <c r="F193" s="419">
        <f t="shared" si="56"/>
        <v>0</v>
      </c>
      <c r="G193" s="433">
        <f t="shared" si="57"/>
        <v>0</v>
      </c>
      <c r="H193" s="444">
        <f t="shared" si="59"/>
        <v>0</v>
      </c>
      <c r="I193" s="444">
        <f t="shared" si="58"/>
        <v>0</v>
      </c>
      <c r="J193" s="446">
        <f t="shared" si="60"/>
        <v>0</v>
      </c>
      <c r="L193">
        <f t="shared" si="61"/>
        <v>0</v>
      </c>
    </row>
    <row r="194" spans="1:12" x14ac:dyDescent="0.25">
      <c r="A194" s="160">
        <f>IF(A110=1,"",A111)</f>
        <v>0</v>
      </c>
      <c r="B194" s="421">
        <f>B111</f>
        <v>0</v>
      </c>
      <c r="C194" s="421">
        <f>C111</f>
        <v>0</v>
      </c>
      <c r="D194" s="434"/>
      <c r="E194" s="423">
        <f t="shared" si="62"/>
        <v>0</v>
      </c>
      <c r="F194" s="424">
        <f t="shared" si="56"/>
        <v>0</v>
      </c>
      <c r="G194" s="435">
        <f t="shared" si="57"/>
        <v>0</v>
      </c>
      <c r="H194" s="444">
        <f t="shared" si="59"/>
        <v>0</v>
      </c>
      <c r="I194" s="444">
        <f t="shared" si="58"/>
        <v>0</v>
      </c>
      <c r="J194" s="446">
        <f t="shared" si="60"/>
        <v>0</v>
      </c>
      <c r="K194" s="19" t="s">
        <v>39</v>
      </c>
      <c r="L194">
        <f t="shared" si="61"/>
        <v>0</v>
      </c>
    </row>
    <row r="195" spans="1:12" x14ac:dyDescent="0.25">
      <c r="A195" s="160" t="str">
        <f>IF(C116=0,"",A116)</f>
        <v/>
      </c>
      <c r="B195" s="421" t="str">
        <f>B116</f>
        <v/>
      </c>
      <c r="C195" s="421">
        <f>C116</f>
        <v>0</v>
      </c>
      <c r="D195" s="436">
        <f>IF(A195="",0,1)</f>
        <v>0</v>
      </c>
      <c r="E195" s="423">
        <f t="shared" ref="E195:E196" si="63">IF(B195="",0,IF(CODE((B195))-64=1,1,0))</f>
        <v>0</v>
      </c>
      <c r="F195" s="424">
        <f t="shared" ref="F195:F196" si="64">IF(D195=0,0,IF(CODE((B195))-65=1,1,0))</f>
        <v>0</v>
      </c>
      <c r="G195" s="435">
        <f t="shared" ref="G195:G196" si="65">IF(D195=0,0,IF(CODE((B195))-66=1,1,0))</f>
        <v>0</v>
      </c>
      <c r="H195" s="444">
        <f t="shared" si="59"/>
        <v>0</v>
      </c>
      <c r="I195" s="444">
        <f t="shared" si="58"/>
        <v>0</v>
      </c>
      <c r="J195" s="446">
        <f t="shared" si="60"/>
        <v>0</v>
      </c>
      <c r="K195" s="19" t="s">
        <v>59</v>
      </c>
      <c r="L195">
        <f t="shared" si="61"/>
        <v>0</v>
      </c>
    </row>
    <row r="196" spans="1:12" x14ac:dyDescent="0.25">
      <c r="A196" s="426" t="str">
        <f>IF(C155=0,"",A155)</f>
        <v/>
      </c>
      <c r="B196" s="427" t="str">
        <f>B155</f>
        <v/>
      </c>
      <c r="C196" s="427">
        <f>C155</f>
        <v>0</v>
      </c>
      <c r="D196" s="437">
        <f>IF(A196="",0,1)</f>
        <v>0</v>
      </c>
      <c r="E196" s="423">
        <f t="shared" si="63"/>
        <v>0</v>
      </c>
      <c r="F196" s="424">
        <f t="shared" si="64"/>
        <v>0</v>
      </c>
      <c r="G196" s="435">
        <f t="shared" si="65"/>
        <v>0</v>
      </c>
      <c r="H196" s="444">
        <f t="shared" si="59"/>
        <v>0</v>
      </c>
      <c r="I196" s="444">
        <f t="shared" si="58"/>
        <v>0</v>
      </c>
      <c r="J196" s="446">
        <f t="shared" si="60"/>
        <v>0</v>
      </c>
      <c r="K196" s="19" t="s">
        <v>38</v>
      </c>
      <c r="L196">
        <f t="shared" si="61"/>
        <v>0</v>
      </c>
    </row>
    <row r="197" spans="1:12" x14ac:dyDescent="0.25">
      <c r="A197" s="160" t="str">
        <f>'Beregn stx'!F4</f>
        <v>Dansk</v>
      </c>
      <c r="B197" s="160" t="str">
        <f>'Beregn stx'!G4</f>
        <v>A</v>
      </c>
      <c r="C197" s="160">
        <f>'Beregn stx'!H4</f>
        <v>260</v>
      </c>
      <c r="D197" s="422">
        <f t="shared" ref="D197:D205" si="66">IF(ISNA(VLOOKUP(A197,A$185:A$196,1,)),1,0)</f>
        <v>1</v>
      </c>
      <c r="E197" s="423">
        <f t="shared" ref="E197:E205" si="67">IF(CODE((B197))-64=1,1,0)</f>
        <v>1</v>
      </c>
      <c r="F197" s="424">
        <f t="shared" ref="F197:F205" si="68">IF(D197=0,0,IF(CODE((B197))-65=1,1,0))</f>
        <v>0</v>
      </c>
      <c r="G197" s="435">
        <f t="shared" ref="G197:G205" si="69">IF(D197=0,0,IF(CODE((B197))-66=1,1,0))</f>
        <v>0</v>
      </c>
      <c r="H197" s="444">
        <f t="shared" si="59"/>
        <v>0</v>
      </c>
      <c r="I197" s="444">
        <f t="shared" si="58"/>
        <v>0</v>
      </c>
      <c r="J197" s="446">
        <f t="shared" si="60"/>
        <v>0</v>
      </c>
      <c r="K197" s="19"/>
      <c r="L197">
        <f t="shared" si="61"/>
        <v>2</v>
      </c>
    </row>
    <row r="198" spans="1:12" x14ac:dyDescent="0.25">
      <c r="A198" s="160" t="str">
        <f>'Beregn stx'!F5</f>
        <v>Historie</v>
      </c>
      <c r="B198" s="160" t="str">
        <f>'Beregn stx'!G5</f>
        <v>A</v>
      </c>
      <c r="C198" s="160">
        <f>'Beregn stx'!H5</f>
        <v>190</v>
      </c>
      <c r="D198" s="422">
        <f t="shared" si="66"/>
        <v>1</v>
      </c>
      <c r="E198" s="423">
        <f t="shared" si="67"/>
        <v>1</v>
      </c>
      <c r="F198" s="424">
        <f t="shared" si="68"/>
        <v>0</v>
      </c>
      <c r="G198" s="435">
        <f t="shared" si="69"/>
        <v>0</v>
      </c>
      <c r="H198" s="444">
        <f t="shared" si="59"/>
        <v>0</v>
      </c>
      <c r="I198" s="444">
        <f t="shared" si="58"/>
        <v>0</v>
      </c>
      <c r="J198" s="446">
        <f t="shared" si="60"/>
        <v>0</v>
      </c>
      <c r="K198" s="19" t="s">
        <v>52</v>
      </c>
      <c r="L198">
        <f t="shared" si="61"/>
        <v>2</v>
      </c>
    </row>
    <row r="199" spans="1:12" x14ac:dyDescent="0.25">
      <c r="A199" s="160" t="str">
        <f>'Beregn stx'!F6</f>
        <v>Engelsk</v>
      </c>
      <c r="B199" s="160" t="str">
        <f>'Beregn stx'!G6</f>
        <v>B</v>
      </c>
      <c r="C199" s="160">
        <f>'Beregn stx'!H6</f>
        <v>210</v>
      </c>
      <c r="D199" s="422">
        <f t="shared" si="66"/>
        <v>1</v>
      </c>
      <c r="E199" s="423">
        <f t="shared" si="67"/>
        <v>0</v>
      </c>
      <c r="F199" s="424">
        <f t="shared" si="68"/>
        <v>1</v>
      </c>
      <c r="G199" s="435">
        <f t="shared" si="69"/>
        <v>0</v>
      </c>
      <c r="H199" s="444">
        <f t="shared" si="59"/>
        <v>1</v>
      </c>
      <c r="I199" s="444">
        <f t="shared" si="58"/>
        <v>0</v>
      </c>
      <c r="J199" s="446">
        <f t="shared" si="60"/>
        <v>0</v>
      </c>
      <c r="K199" s="19" t="s">
        <v>36</v>
      </c>
      <c r="L199">
        <f t="shared" si="61"/>
        <v>2</v>
      </c>
    </row>
    <row r="200" spans="1:12" x14ac:dyDescent="0.25">
      <c r="A200" s="160" t="str">
        <f>'Beregn stx'!F7</f>
        <v>Matematik</v>
      </c>
      <c r="B200" s="160" t="str">
        <f>'Beregn stx'!G7</f>
        <v>B</v>
      </c>
      <c r="C200" s="160">
        <f>'Beregn stx'!H7</f>
        <v>250</v>
      </c>
      <c r="D200" s="422">
        <f t="shared" si="66"/>
        <v>1</v>
      </c>
      <c r="E200" s="423">
        <f t="shared" si="67"/>
        <v>0</v>
      </c>
      <c r="F200" s="424">
        <f t="shared" si="68"/>
        <v>1</v>
      </c>
      <c r="G200" s="435">
        <f t="shared" si="69"/>
        <v>0</v>
      </c>
      <c r="H200" s="444">
        <f t="shared" si="59"/>
        <v>0</v>
      </c>
      <c r="I200" s="444">
        <f t="shared" si="58"/>
        <v>0</v>
      </c>
      <c r="J200" s="446">
        <f t="shared" si="60"/>
        <v>0</v>
      </c>
      <c r="K200" s="12"/>
      <c r="L200">
        <f t="shared" si="61"/>
        <v>2</v>
      </c>
    </row>
    <row r="201" spans="1:12" x14ac:dyDescent="0.25">
      <c r="A201" s="160" t="str">
        <f>'Beregn stx'!F8</f>
        <v>Fysik</v>
      </c>
      <c r="B201" s="160" t="str">
        <f>'Beregn stx'!G8</f>
        <v>C</v>
      </c>
      <c r="C201" s="160">
        <f>'Beregn stx'!H8</f>
        <v>75</v>
      </c>
      <c r="D201" s="422">
        <f t="shared" si="66"/>
        <v>1</v>
      </c>
      <c r="E201" s="423">
        <f t="shared" si="67"/>
        <v>0</v>
      </c>
      <c r="F201" s="424">
        <f t="shared" si="68"/>
        <v>0</v>
      </c>
      <c r="G201" s="435">
        <f t="shared" si="69"/>
        <v>1</v>
      </c>
      <c r="H201" s="444">
        <f t="shared" si="59"/>
        <v>0</v>
      </c>
      <c r="I201" s="444"/>
      <c r="J201" s="446">
        <f t="shared" si="60"/>
        <v>0</v>
      </c>
      <c r="K201" s="12"/>
      <c r="L201">
        <f t="shared" si="61"/>
        <v>2</v>
      </c>
    </row>
    <row r="202" spans="1:12" x14ac:dyDescent="0.25">
      <c r="A202" s="160" t="str">
        <f>'Beregn stx'!F9</f>
        <v>Idræt</v>
      </c>
      <c r="B202" s="160" t="str">
        <f>'Beregn stx'!G9</f>
        <v>C</v>
      </c>
      <c r="C202" s="160">
        <f>'Beregn stx'!H9</f>
        <v>150</v>
      </c>
      <c r="D202" s="422">
        <f t="shared" si="66"/>
        <v>1</v>
      </c>
      <c r="E202" s="423">
        <f t="shared" si="67"/>
        <v>0</v>
      </c>
      <c r="F202" s="424">
        <f t="shared" si="68"/>
        <v>0</v>
      </c>
      <c r="G202" s="435">
        <f t="shared" si="69"/>
        <v>1</v>
      </c>
      <c r="H202" s="444">
        <f t="shared" si="59"/>
        <v>0</v>
      </c>
      <c r="I202" s="444">
        <f>IF(D202=0,0,IF(ISNA(VLOOKUP(A202,K$194:K$199,1,)),0,1))</f>
        <v>0</v>
      </c>
      <c r="J202" s="446">
        <f t="shared" si="60"/>
        <v>0</v>
      </c>
      <c r="K202" s="12"/>
      <c r="L202">
        <f t="shared" si="61"/>
        <v>2</v>
      </c>
    </row>
    <row r="203" spans="1:12" x14ac:dyDescent="0.25">
      <c r="A203" s="160" t="str">
        <f>'Beregn stx'!F10</f>
        <v>Oldtidskundskab</v>
      </c>
      <c r="B203" s="160" t="str">
        <f>'Beregn stx'!G10</f>
        <v>C</v>
      </c>
      <c r="C203" s="160">
        <f>'Beregn stx'!H10</f>
        <v>75</v>
      </c>
      <c r="D203" s="422">
        <f t="shared" si="66"/>
        <v>1</v>
      </c>
      <c r="E203" s="423">
        <f t="shared" si="67"/>
        <v>0</v>
      </c>
      <c r="F203" s="424">
        <f t="shared" si="68"/>
        <v>0</v>
      </c>
      <c r="G203" s="435">
        <f t="shared" si="69"/>
        <v>1</v>
      </c>
      <c r="H203" s="444">
        <f t="shared" si="59"/>
        <v>0</v>
      </c>
      <c r="I203" s="444">
        <f>IF(D203=0,0,IF(ISNA(VLOOKUP(A203,K$194:K$199,1,)),0,1))</f>
        <v>0</v>
      </c>
      <c r="J203" s="446">
        <f t="shared" si="60"/>
        <v>0</v>
      </c>
      <c r="K203" s="12"/>
      <c r="L203">
        <f t="shared" si="61"/>
        <v>2</v>
      </c>
    </row>
    <row r="204" spans="1:12" x14ac:dyDescent="0.25">
      <c r="A204" s="160" t="str">
        <f>'Beregn stx'!F11</f>
        <v>Religion</v>
      </c>
      <c r="B204" s="160" t="str">
        <f>'Beregn stx'!G11</f>
        <v>C</v>
      </c>
      <c r="C204" s="160">
        <f>'Beregn stx'!H11</f>
        <v>75</v>
      </c>
      <c r="D204" s="422">
        <f t="shared" si="66"/>
        <v>1</v>
      </c>
      <c r="E204" s="423">
        <f t="shared" si="67"/>
        <v>0</v>
      </c>
      <c r="F204" s="424">
        <f t="shared" si="68"/>
        <v>0</v>
      </c>
      <c r="G204" s="435">
        <f t="shared" si="69"/>
        <v>1</v>
      </c>
      <c r="H204" s="444">
        <f t="shared" si="59"/>
        <v>0</v>
      </c>
      <c r="I204" s="444">
        <f>IF(D204=0,0,IF(ISNA(VLOOKUP(A204,K$194:K$199,1,)),0,1))</f>
        <v>0</v>
      </c>
      <c r="J204" s="446">
        <f t="shared" si="60"/>
        <v>0</v>
      </c>
      <c r="K204" s="12"/>
      <c r="L204">
        <f t="shared" si="61"/>
        <v>2</v>
      </c>
    </row>
    <row r="205" spans="1:12" x14ac:dyDescent="0.25">
      <c r="A205" s="426" t="str">
        <f>'Beregn stx'!F12</f>
        <v>Samfundsfag</v>
      </c>
      <c r="B205" s="426" t="str">
        <f>'Beregn stx'!G12</f>
        <v>C</v>
      </c>
      <c r="C205" s="426">
        <f>'Beregn stx'!H12</f>
        <v>75</v>
      </c>
      <c r="D205" s="428">
        <f t="shared" si="66"/>
        <v>1</v>
      </c>
      <c r="E205" s="429">
        <f t="shared" si="67"/>
        <v>0</v>
      </c>
      <c r="F205" s="430">
        <f t="shared" si="68"/>
        <v>0</v>
      </c>
      <c r="G205" s="438">
        <f t="shared" si="69"/>
        <v>1</v>
      </c>
      <c r="H205" s="444">
        <f t="shared" si="59"/>
        <v>0</v>
      </c>
      <c r="I205" s="444">
        <f>IF(D205=0,0,IF(ISNA(VLOOKUP(A205,K$194:K$199,1,)),0,1))</f>
        <v>0</v>
      </c>
      <c r="J205" s="446">
        <f t="shared" si="60"/>
        <v>0</v>
      </c>
      <c r="K205" s="12"/>
      <c r="L205">
        <f t="shared" si="61"/>
        <v>2</v>
      </c>
    </row>
    <row r="206" spans="1:12" x14ac:dyDescent="0.25">
      <c r="A206">
        <f>D207-E208-F209-G210</f>
        <v>2</v>
      </c>
      <c r="B206" s="7">
        <f>SUM('Beregn stx'!H14:H16)</f>
        <v>165</v>
      </c>
      <c r="C206" s="7">
        <f>SUM(C185:C205)+B206</f>
        <v>1525</v>
      </c>
      <c r="D206" s="33"/>
      <c r="E206" s="423"/>
      <c r="F206" s="28"/>
      <c r="G206" s="40"/>
      <c r="H206" s="17"/>
      <c r="I206" s="6"/>
      <c r="J206" s="12"/>
      <c r="K206" s="12"/>
    </row>
    <row r="207" spans="1:12" x14ac:dyDescent="0.25">
      <c r="A207" s="15" t="s">
        <v>25</v>
      </c>
      <c r="B207" s="15"/>
      <c r="C207" s="15"/>
      <c r="D207" s="15">
        <f>SUM(D185:D206)</f>
        <v>11</v>
      </c>
      <c r="E207" s="423"/>
      <c r="F207" s="28"/>
      <c r="G207" s="40"/>
      <c r="H207" s="6"/>
      <c r="I207" s="6"/>
      <c r="J207" s="6"/>
      <c r="K207" s="6"/>
    </row>
    <row r="208" spans="1:12" x14ac:dyDescent="0.25">
      <c r="A208" s="24" t="s">
        <v>26</v>
      </c>
      <c r="B208" s="24"/>
      <c r="C208" s="24"/>
      <c r="D208" s="24"/>
      <c r="E208" s="29">
        <f>SUM(E185:E207)</f>
        <v>2</v>
      </c>
      <c r="F208" s="28"/>
      <c r="G208" s="40"/>
      <c r="H208" s="6"/>
      <c r="I208" s="6"/>
      <c r="J208" s="6"/>
      <c r="K208" s="6"/>
    </row>
    <row r="209" spans="1:12" x14ac:dyDescent="0.25">
      <c r="A209" s="25" t="s">
        <v>27</v>
      </c>
      <c r="B209" s="25"/>
      <c r="C209" s="25"/>
      <c r="D209" s="25"/>
      <c r="E209" s="25"/>
      <c r="F209" s="28">
        <f>SUM(F185:F206)</f>
        <v>2</v>
      </c>
      <c r="G209" s="40"/>
      <c r="H209" s="6"/>
      <c r="I209" s="6"/>
      <c r="J209" s="6"/>
      <c r="K209" s="6"/>
    </row>
    <row r="210" spans="1:12" x14ac:dyDescent="0.25">
      <c r="A210" s="31" t="s">
        <v>30</v>
      </c>
      <c r="B210" s="31"/>
      <c r="C210" s="31"/>
      <c r="D210" s="31"/>
      <c r="E210" s="31"/>
      <c r="F210" s="32"/>
      <c r="G210" s="40">
        <f>SUM(G185:G206)</f>
        <v>5</v>
      </c>
      <c r="H210" s="451"/>
      <c r="I210" s="452"/>
      <c r="J210" s="452"/>
      <c r="K210" s="6"/>
      <c r="L210" s="6"/>
    </row>
    <row r="211" spans="1:12" x14ac:dyDescent="0.25">
      <c r="A211" s="320" t="s">
        <v>120</v>
      </c>
      <c r="B211" s="320"/>
      <c r="C211" s="320"/>
      <c r="D211" s="320"/>
      <c r="E211" s="321"/>
      <c r="F211" s="318"/>
      <c r="G211" s="318"/>
      <c r="H211" s="453">
        <f>SUM(H185:H205)</f>
        <v>1</v>
      </c>
      <c r="I211" s="454"/>
      <c r="J211" s="452"/>
    </row>
    <row r="212" spans="1:12" x14ac:dyDescent="0.25">
      <c r="A212" s="25" t="s">
        <v>121</v>
      </c>
      <c r="B212" s="25"/>
      <c r="C212" s="25"/>
      <c r="D212" s="25"/>
      <c r="E212" s="25"/>
      <c r="F212" s="28"/>
      <c r="G212" s="25"/>
      <c r="H212" s="455"/>
      <c r="I212" s="455">
        <f>IF(B184=2,SUM(I185:I205)-1,SUM(I185:I205))</f>
        <v>0</v>
      </c>
      <c r="J212" s="38"/>
    </row>
    <row r="213" spans="1:12" x14ac:dyDescent="0.25">
      <c r="A213" s="31" t="s">
        <v>123</v>
      </c>
      <c r="B213" s="31"/>
      <c r="C213" s="31"/>
      <c r="D213" s="31"/>
      <c r="E213" s="31"/>
      <c r="F213" s="32"/>
      <c r="G213" s="40"/>
      <c r="H213" s="456"/>
      <c r="I213" s="456"/>
      <c r="J213" s="456">
        <f>SUM(J185:J205)</f>
        <v>0</v>
      </c>
      <c r="K213" s="6"/>
    </row>
    <row r="214" spans="1:12" x14ac:dyDescent="0.25">
      <c r="A214" s="2" t="s">
        <v>41</v>
      </c>
      <c r="B214" s="447">
        <f>IF(OR($B$184=2,$B$184=3,$B$184=4),1,0)</f>
        <v>0</v>
      </c>
      <c r="E214" s="18"/>
      <c r="F214" s="17"/>
      <c r="G214" s="18"/>
      <c r="H214" s="325"/>
      <c r="I214" s="6"/>
      <c r="J214" s="6"/>
    </row>
    <row r="215" spans="1:12" x14ac:dyDescent="0.25">
      <c r="A215" s="5" t="s">
        <v>114</v>
      </c>
      <c r="B215" s="448">
        <f>IF(OR($B$184=9),2,0)</f>
        <v>0</v>
      </c>
      <c r="E215" s="18"/>
      <c r="F215" s="17"/>
      <c r="G215" s="18"/>
      <c r="H215" s="6"/>
      <c r="I215" s="6"/>
      <c r="J215" s="6"/>
    </row>
    <row r="216" spans="1:12" x14ac:dyDescent="0.25">
      <c r="A216" s="3" t="s">
        <v>61</v>
      </c>
      <c r="B216" s="449">
        <f>IF(OR($B$184=5,$B$184=6,$B$184=7,$B$184=8,$B$184=10,$B$184=11),3,0)</f>
        <v>0</v>
      </c>
      <c r="E216" s="18"/>
      <c r="F216" s="6"/>
      <c r="G216" s="6"/>
      <c r="H216" s="6"/>
      <c r="I216" s="6"/>
      <c r="J216" s="19"/>
    </row>
    <row r="217" spans="1:12" x14ac:dyDescent="0.25">
      <c r="A217" s="4" t="s">
        <v>115</v>
      </c>
      <c r="B217" s="450">
        <f>IF($B$184=12,4,0)</f>
        <v>0</v>
      </c>
    </row>
    <row r="218" spans="1:12" x14ac:dyDescent="0.25">
      <c r="A218" s="6"/>
      <c r="B218" s="442">
        <f>SUM(B214:B217)</f>
        <v>0</v>
      </c>
    </row>
    <row r="219" spans="1:12" x14ac:dyDescent="0.25">
      <c r="A219" s="6"/>
      <c r="B219" s="445"/>
    </row>
    <row r="220" spans="1:12" x14ac:dyDescent="0.25">
      <c r="A220" t="s">
        <v>126</v>
      </c>
      <c r="B220" s="18">
        <f>IF(OR(B184=3,B184=4),0,IF(AND($B$218=2,OR($A$189=$K$191,$A$190=$K$191,$A$191=$K$191),$I$212&gt;0.5),0,IF(AND(B218=2,I212=1,J213=1),0,IF($I$212&gt;1.5,0,IF(AND(B218&gt;2.5,B222=0),0,IF(I212&gt;1,0,1))))))</f>
        <v>1</v>
      </c>
      <c r="F220" s="407" t="s">
        <v>177</v>
      </c>
      <c r="H220" s="7"/>
      <c r="I220" s="6"/>
    </row>
    <row r="221" spans="1:12" x14ac:dyDescent="0.25">
      <c r="A221" s="53" t="s">
        <v>125</v>
      </c>
      <c r="B221" s="24">
        <f>IF(B218=1,0,IF(H211&gt;2,0,IF(J213&gt;0.5,0,1)))</f>
        <v>1</v>
      </c>
      <c r="F221" s="324" t="s">
        <v>178</v>
      </c>
      <c r="G221" s="18"/>
      <c r="H221" s="18"/>
      <c r="I221" s="6"/>
      <c r="J221" s="6"/>
      <c r="K221" s="6"/>
      <c r="L221" s="6"/>
    </row>
    <row r="222" spans="1:12" x14ac:dyDescent="0.25">
      <c r="A222" t="s">
        <v>127</v>
      </c>
      <c r="B222" s="18">
        <f>IF(AND($B$218=2,OR($A$193=$K$191,$A$194=$K$191,$A$189=$K$191,$A$190=$K$191,$A$191=$K$191)),0,IF(OR($A$5=2,$A$5=3,$A$5=4),0,IF(AND(H211&gt;2,J213&gt;0.5),0,IF(I212&gt;1,0,IF(J213&gt;1,0,1)))))</f>
        <v>1</v>
      </c>
      <c r="F222" s="324" t="s">
        <v>179</v>
      </c>
      <c r="G222" s="18"/>
      <c r="H222" s="18"/>
      <c r="I222" s="6"/>
      <c r="J222" s="6"/>
      <c r="K222" s="6"/>
      <c r="L222" s="6"/>
    </row>
    <row r="223" spans="1:12" x14ac:dyDescent="0.25">
      <c r="A223" s="53" t="s">
        <v>128</v>
      </c>
      <c r="B223" s="24">
        <f>IF(B184&gt;2.5,0,IF(C191=0,1,IF(AND(B184=2,OR(AND(I212=2,J213=2),AND(I212&gt;1.5,J213&gt;2),I212&gt;2.5)),0,1)))</f>
        <v>1</v>
      </c>
      <c r="F223" s="324" t="s">
        <v>180</v>
      </c>
      <c r="G223" s="18"/>
      <c r="H223" s="18"/>
      <c r="I223" s="6"/>
      <c r="J223" s="6"/>
      <c r="K223" s="6"/>
      <c r="L223" s="6"/>
    </row>
    <row r="224" spans="1:12" x14ac:dyDescent="0.25">
      <c r="A224" t="s">
        <v>129</v>
      </c>
      <c r="F224" s="324" t="s">
        <v>130</v>
      </c>
      <c r="G224" s="18"/>
      <c r="H224" s="18"/>
      <c r="I224" s="6"/>
      <c r="J224" s="6"/>
      <c r="K224" s="6"/>
      <c r="L224" s="6"/>
    </row>
    <row r="225" spans="1:15" x14ac:dyDescent="0.25">
      <c r="B225" s="327">
        <f>SUM(B220:B224)</f>
        <v>4</v>
      </c>
      <c r="G225" s="18"/>
      <c r="H225" s="18"/>
      <c r="I225" s="6"/>
      <c r="J225" s="6"/>
      <c r="K225" s="6"/>
      <c r="L225" s="6"/>
    </row>
    <row r="226" spans="1:15" x14ac:dyDescent="0.25">
      <c r="F226" s="186"/>
      <c r="G226" s="18"/>
      <c r="H226" s="18"/>
      <c r="I226" s="6"/>
      <c r="J226" s="6"/>
      <c r="K226" s="6"/>
      <c r="L226" s="6"/>
    </row>
    <row r="227" spans="1:15" x14ac:dyDescent="0.25">
      <c r="F227" s="186"/>
      <c r="G227" s="18"/>
      <c r="H227" s="18"/>
      <c r="I227" s="6"/>
      <c r="J227" s="6"/>
      <c r="K227" s="6"/>
      <c r="L227" s="6"/>
    </row>
    <row r="228" spans="1:15" x14ac:dyDescent="0.25">
      <c r="A228" s="8" t="str">
        <f>A6</f>
        <v>VÆLG</v>
      </c>
      <c r="B228" s="18">
        <f>A5</f>
        <v>1</v>
      </c>
      <c r="E228" s="18"/>
      <c r="F228" s="18" t="s">
        <v>119</v>
      </c>
      <c r="G228" s="18"/>
      <c r="H228" s="6"/>
      <c r="I228" s="6" t="s">
        <v>122</v>
      </c>
      <c r="J228" s="6" t="s">
        <v>124</v>
      </c>
      <c r="K228" s="6"/>
      <c r="L228" s="6" t="s">
        <v>131</v>
      </c>
    </row>
    <row r="229" spans="1:15" x14ac:dyDescent="0.25">
      <c r="A229" s="7" t="str">
        <f t="shared" ref="A229:C231" si="70">A19</f>
        <v xml:space="preserve"> </v>
      </c>
      <c r="B229" s="37" t="str">
        <f t="shared" si="70"/>
        <v xml:space="preserve"> </v>
      </c>
      <c r="C229" s="34">
        <f t="shared" si="70"/>
        <v>0</v>
      </c>
      <c r="D229" s="36">
        <f>IF(A233=A229,0,IF(A229="",0,1))</f>
        <v>1</v>
      </c>
      <c r="E229" s="33">
        <f>IF(A233=A229,0,IF(CODE((B229))-64=1,1,0))</f>
        <v>0</v>
      </c>
      <c r="F229" s="36"/>
      <c r="G229" s="36"/>
      <c r="H229" s="316"/>
      <c r="I229" s="317"/>
      <c r="J229" s="6"/>
      <c r="K229" s="6"/>
      <c r="L229" s="6" t="str">
        <f>IF(A229=F21,"A","")</f>
        <v/>
      </c>
    </row>
    <row r="230" spans="1:15" x14ac:dyDescent="0.25">
      <c r="A230" s="7" t="str">
        <f t="shared" si="70"/>
        <v xml:space="preserve"> </v>
      </c>
      <c r="B230" s="37" t="str">
        <f t="shared" si="70"/>
        <v xml:space="preserve"> </v>
      </c>
      <c r="C230" s="34">
        <f t="shared" si="70"/>
        <v>0</v>
      </c>
      <c r="D230" s="52">
        <f>IF(A240=A230,0,IF(A230=A241,0,IF(A230="",0,1)))</f>
        <v>1</v>
      </c>
      <c r="E230" s="33">
        <f>IF(CODE((B230))-64=1,1,0)</f>
        <v>0</v>
      </c>
      <c r="F230" s="36"/>
      <c r="G230" s="36"/>
      <c r="H230" s="316"/>
      <c r="I230" s="317"/>
      <c r="J230" s="6"/>
      <c r="K230" s="6"/>
      <c r="L230" s="6" t="str">
        <f>IF(OR(A230=$I$19,A230=$I$21,A230=$I$20),"B","")</f>
        <v/>
      </c>
    </row>
    <row r="231" spans="1:15" x14ac:dyDescent="0.25">
      <c r="A231" s="7" t="str">
        <f t="shared" si="70"/>
        <v xml:space="preserve"> </v>
      </c>
      <c r="B231" s="37" t="str">
        <f t="shared" si="70"/>
        <v xml:space="preserve"> </v>
      </c>
      <c r="C231" s="34" t="str">
        <f t="shared" si="70"/>
        <v xml:space="preserve"> </v>
      </c>
      <c r="D231" s="52">
        <f>IF(A240=A231,0,IF(A231=A241,0,IF(A231="",0,1)))</f>
        <v>1</v>
      </c>
      <c r="E231" s="33">
        <f>IF(CODE((B231))-64=1,1,0)</f>
        <v>0</v>
      </c>
      <c r="F231" s="318">
        <f>IF(A231=L26,1,0)</f>
        <v>0</v>
      </c>
      <c r="G231" s="36"/>
      <c r="H231" s="316"/>
      <c r="I231" s="317">
        <f>IF(A5=E19,1,IF(OR(A5=E20,A5=E21),2,0))</f>
        <v>0</v>
      </c>
      <c r="J231" s="6"/>
      <c r="K231" s="6"/>
      <c r="L231" s="6" t="str">
        <f>IF(OR(A231=$I$19,A231=$I$21,A231=$I$20),"B","")</f>
        <v/>
      </c>
      <c r="O231" s="7"/>
    </row>
    <row r="232" spans="1:15" x14ac:dyDescent="0.25">
      <c r="B232" s="37"/>
      <c r="C232" s="34"/>
      <c r="D232" s="36"/>
      <c r="E232" s="33"/>
      <c r="F232" s="36"/>
      <c r="G232" s="36"/>
      <c r="H232" s="316"/>
      <c r="I232" s="317"/>
      <c r="J232" s="6"/>
      <c r="K232" s="6"/>
      <c r="L232" s="6" t="str">
        <f>IF(A230=$I$20,"B","")</f>
        <v/>
      </c>
      <c r="O232" s="7"/>
    </row>
    <row r="233" spans="1:15" x14ac:dyDescent="0.25">
      <c r="A233" s="7" t="str">
        <f>IF(A33=1,"",A34)</f>
        <v/>
      </c>
      <c r="B233" s="38" t="str">
        <f>B34</f>
        <v/>
      </c>
      <c r="C233" s="35">
        <f>C34</f>
        <v>0</v>
      </c>
      <c r="D233" s="52">
        <f>IF(A240=A233,0,IF(A233=A241,0,IF(A230=A233,0,IF(A233="",0,1))))</f>
        <v>0</v>
      </c>
      <c r="E233" s="33">
        <f>IF(B233="",0,IF(CODE((B233))-64=1,1,0))</f>
        <v>0</v>
      </c>
      <c r="F233" s="319" t="str">
        <f>IF(A33=1,"",1)</f>
        <v/>
      </c>
      <c r="G233" s="36"/>
      <c r="H233" s="316"/>
      <c r="I233" s="317"/>
      <c r="J233" s="6"/>
      <c r="K233" s="6"/>
      <c r="L233" s="6"/>
    </row>
    <row r="234" spans="1:15" x14ac:dyDescent="0.25">
      <c r="B234" s="38"/>
      <c r="C234" s="35"/>
      <c r="D234" s="36"/>
      <c r="E234" s="33"/>
      <c r="F234" s="36"/>
      <c r="G234" s="36"/>
      <c r="H234" s="316"/>
      <c r="I234" s="317"/>
      <c r="J234" s="6"/>
      <c r="K234" s="6"/>
      <c r="L234" s="6"/>
    </row>
    <row r="235" spans="1:15" x14ac:dyDescent="0.25">
      <c r="A235" s="7" t="str">
        <f>IF(A42=1,"",A43)</f>
        <v/>
      </c>
      <c r="B235" s="37" t="str">
        <f>B43</f>
        <v/>
      </c>
      <c r="C235" s="37">
        <f>C43</f>
        <v>0</v>
      </c>
      <c r="D235" s="52">
        <f>IF($A$240=A235,0,IF(A235=$A$241,0,IF(A235="",0,1)))</f>
        <v>0</v>
      </c>
      <c r="E235" s="33">
        <f>IF(B235="",0,IF(CODE((B235))-64=1,1,0))</f>
        <v>0</v>
      </c>
      <c r="F235" s="318">
        <f>IF(A235=I45,1,0)</f>
        <v>0</v>
      </c>
      <c r="G235" s="61"/>
      <c r="H235" s="36"/>
      <c r="I235" s="317">
        <f>IF(OR(A235=$I$42,A235=$I$43,A235=$I$44,A235=$I$46),1,0)</f>
        <v>0</v>
      </c>
      <c r="J235" s="6"/>
      <c r="K235" s="6"/>
      <c r="L235" s="6"/>
    </row>
    <row r="236" spans="1:15" x14ac:dyDescent="0.25">
      <c r="A236" s="7" t="str">
        <f>IF(A50=1,"",A51)</f>
        <v/>
      </c>
      <c r="B236" s="37" t="str">
        <f>B51</f>
        <v/>
      </c>
      <c r="C236" s="37">
        <f>C51</f>
        <v>0</v>
      </c>
      <c r="D236" s="52">
        <f>IF($A$240=A236,0,IF(A236=$A$241,0,IF(A236="",0,1)))</f>
        <v>0</v>
      </c>
      <c r="E236" s="33">
        <f>IF(B236="",0,IF(CODE((B236))-64=1,1,0))</f>
        <v>0</v>
      </c>
      <c r="F236" s="318">
        <f>IF(A236=$I$45,1,0)</f>
        <v>0</v>
      </c>
      <c r="G236" s="61"/>
      <c r="H236" s="36"/>
      <c r="I236" s="317">
        <f>IF(A235=A236,0,IF(OR(A236=$I$42,A236=$I$43,A236=$I$44,A236=$I$46),1,0))</f>
        <v>0</v>
      </c>
      <c r="J236" s="6">
        <f>IF(OR(B236="B",B236="A"),1,0)</f>
        <v>0</v>
      </c>
      <c r="K236" s="6"/>
      <c r="L236" s="6"/>
    </row>
    <row r="237" spans="1:15" x14ac:dyDescent="0.25">
      <c r="A237" s="7" t="str">
        <f>IF(A62=1,"",A63)</f>
        <v/>
      </c>
      <c r="B237" s="37" t="str">
        <f>B63</f>
        <v/>
      </c>
      <c r="C237" s="37">
        <f>C63</f>
        <v>0</v>
      </c>
      <c r="D237" s="52"/>
      <c r="E237" s="33"/>
      <c r="F237" s="318">
        <f>IF(A237=$I$45,1,0)</f>
        <v>0</v>
      </c>
      <c r="G237" s="61"/>
      <c r="H237" s="36"/>
      <c r="I237" s="317">
        <f>IF(OR(A237=$I$42,A237=$I$43,A237=$I$44,A237=$I$46),1,0)</f>
        <v>0</v>
      </c>
      <c r="J237" s="6">
        <f>IF(OR(B237="B",B237="A"),1,0)</f>
        <v>0</v>
      </c>
      <c r="K237" s="6"/>
      <c r="L237" s="6"/>
    </row>
    <row r="238" spans="1:15" x14ac:dyDescent="0.25">
      <c r="A238" s="7" t="str">
        <f>IF(A85=1,"",A86)</f>
        <v/>
      </c>
      <c r="B238" s="37" t="str">
        <f>B86</f>
        <v/>
      </c>
      <c r="C238" s="34">
        <f>C86</f>
        <v>0</v>
      </c>
      <c r="D238" s="52">
        <f>IF($A$240=A238,0,IF(A238=$A$241,0,IF(A238="",0,1)))</f>
        <v>0</v>
      </c>
      <c r="E238" s="33">
        <f>IF(B238="",0,IF(CODE((B238))-64=1,1,0))</f>
        <v>0</v>
      </c>
      <c r="F238" s="318">
        <f>IF(A238=$I$45,1,0)</f>
        <v>0</v>
      </c>
      <c r="G238" s="61"/>
      <c r="H238" s="36"/>
      <c r="I238" s="317">
        <f>IF(OR(A238=$I$42,A238=$I$43,A238=$I$44,A238=$I$46),1,0)</f>
        <v>0</v>
      </c>
      <c r="J238" s="6"/>
      <c r="K238" s="6"/>
      <c r="L238" s="6"/>
    </row>
    <row r="239" spans="1:15" x14ac:dyDescent="0.25">
      <c r="A239" s="7">
        <f>IF(A110=1,"",A111)</f>
        <v>0</v>
      </c>
      <c r="B239" s="37">
        <f>B111</f>
        <v>0</v>
      </c>
      <c r="C239" s="34">
        <f>C111</f>
        <v>0</v>
      </c>
      <c r="D239" s="36">
        <f>IF(A239="",0,1)</f>
        <v>1</v>
      </c>
      <c r="E239" s="33">
        <f>IF(B239="",0,IF(CODE((B239))-64=1,1,0))</f>
        <v>0</v>
      </c>
      <c r="F239" s="318">
        <f>IF(A239=$I$45,1,0)</f>
        <v>0</v>
      </c>
      <c r="G239" s="61"/>
      <c r="H239" s="36"/>
      <c r="I239" s="317">
        <f>IF(OR(A239=$I$42,A239=$I$43,A239=$I$44,A239=$I$46),1,0)</f>
        <v>0</v>
      </c>
      <c r="J239" s="317"/>
      <c r="K239" s="6"/>
      <c r="L239" s="6"/>
    </row>
    <row r="240" spans="1:15" x14ac:dyDescent="0.25">
      <c r="A240" s="7" t="str">
        <f>IF(A115=1,"",A116)</f>
        <v/>
      </c>
      <c r="B240" s="37" t="str">
        <f>B116</f>
        <v/>
      </c>
      <c r="C240" s="34">
        <f>C116</f>
        <v>0</v>
      </c>
      <c r="D240" s="52">
        <f>IF(A240=A241,0,IF(A240="",0,1))</f>
        <v>0</v>
      </c>
      <c r="E240" s="33">
        <f>IF(B240="",0,IF(CODE((B240))-64=1,1,0))</f>
        <v>0</v>
      </c>
      <c r="F240" s="36"/>
      <c r="G240" s="36"/>
      <c r="H240" s="36"/>
      <c r="I240" s="317"/>
      <c r="J240" s="317">
        <f>IF(OR(A240=$I$42,A240=$I$43,A240=$I$44,A240=$I$46,A240=$A$242,A240=I176),1,0)</f>
        <v>0</v>
      </c>
      <c r="K240" s="6"/>
      <c r="L240" s="6"/>
    </row>
    <row r="241" spans="1:12" x14ac:dyDescent="0.25">
      <c r="A241" s="7" t="str">
        <f>IF(A154=1,"",A155)</f>
        <v/>
      </c>
      <c r="B241" s="37" t="str">
        <f>B155</f>
        <v/>
      </c>
      <c r="C241" s="34">
        <f>C155</f>
        <v>0</v>
      </c>
      <c r="D241" s="51">
        <f>IF(A241="",0,1)</f>
        <v>0</v>
      </c>
      <c r="E241" s="33">
        <f>IF(B241="",0,IF(CODE((B241))-64=1,1,0))</f>
        <v>0</v>
      </c>
      <c r="F241" s="36"/>
      <c r="G241" s="36"/>
      <c r="H241" s="36"/>
      <c r="I241" s="317"/>
      <c r="J241" s="317">
        <f>IF(OR(A241=$I$42,A241=$I$43,A241=$I$44,A241=$I$46,A241=$A$242,A241=I176,A241=I177,A241=I172),1,0)</f>
        <v>0</v>
      </c>
      <c r="K241" s="6"/>
      <c r="L241" s="314"/>
    </row>
    <row r="242" spans="1:12" x14ac:dyDescent="0.25">
      <c r="A242" s="160" t="s">
        <v>36</v>
      </c>
      <c r="B242" s="7"/>
      <c r="C242" s="7"/>
      <c r="D242" s="36"/>
      <c r="E242" s="33"/>
      <c r="F242" s="36"/>
      <c r="G242" s="36"/>
      <c r="H242" s="36"/>
      <c r="I242" s="317"/>
      <c r="J242" s="6"/>
      <c r="K242" s="6"/>
      <c r="L242" s="314"/>
    </row>
    <row r="243" spans="1:12" x14ac:dyDescent="0.25">
      <c r="A243" s="15" t="s">
        <v>25</v>
      </c>
      <c r="B243" s="15"/>
      <c r="C243" s="15"/>
      <c r="D243" s="15"/>
    </row>
    <row r="244" spans="1:12" x14ac:dyDescent="0.25">
      <c r="A244" s="320" t="s">
        <v>120</v>
      </c>
      <c r="B244" s="320"/>
      <c r="C244" s="320"/>
      <c r="D244" s="320"/>
      <c r="E244" s="321"/>
      <c r="F244" s="318">
        <f>SUM(F229:F242)</f>
        <v>0</v>
      </c>
      <c r="I244" s="6"/>
      <c r="J244" s="6"/>
    </row>
    <row r="245" spans="1:12" x14ac:dyDescent="0.25">
      <c r="A245" s="25" t="s">
        <v>121</v>
      </c>
      <c r="B245" s="25"/>
      <c r="C245" s="25"/>
      <c r="D245" s="25"/>
      <c r="E245" s="25"/>
      <c r="F245" s="28"/>
      <c r="G245" s="25"/>
      <c r="H245" s="25"/>
      <c r="I245" s="322">
        <f>SUM(I229:I242)</f>
        <v>0</v>
      </c>
      <c r="J245" s="6"/>
    </row>
    <row r="246" spans="1:12" x14ac:dyDescent="0.25">
      <c r="A246" s="31" t="s">
        <v>123</v>
      </c>
      <c r="B246" s="31"/>
      <c r="C246" s="31"/>
      <c r="D246" s="31"/>
      <c r="E246" s="31"/>
      <c r="F246" s="32"/>
      <c r="G246" s="40"/>
      <c r="H246" s="323"/>
      <c r="I246" s="323"/>
      <c r="J246" s="323">
        <f>SUM(J236:J245)</f>
        <v>0</v>
      </c>
    </row>
    <row r="247" spans="1:12" x14ac:dyDescent="0.25">
      <c r="A247" s="2" t="s">
        <v>41</v>
      </c>
      <c r="B247" s="2">
        <f>IF(OR($B$184=2,$B$184=3,$B$184=4),1,0)</f>
        <v>0</v>
      </c>
      <c r="E247" s="18"/>
      <c r="F247" s="17"/>
      <c r="G247" s="18"/>
      <c r="H247" s="325"/>
      <c r="I247" s="6"/>
      <c r="J247" s="6"/>
    </row>
    <row r="248" spans="1:12" x14ac:dyDescent="0.25">
      <c r="A248" s="5" t="s">
        <v>114</v>
      </c>
      <c r="B248" s="5">
        <f>IF(OR($B$184=9,$B$184=10,$B$184=11),2,0)</f>
        <v>0</v>
      </c>
      <c r="E248" s="18"/>
      <c r="F248" s="17"/>
      <c r="G248" s="18"/>
      <c r="H248" s="6"/>
      <c r="I248" s="6"/>
      <c r="J248" s="6"/>
    </row>
    <row r="249" spans="1:12" x14ac:dyDescent="0.25">
      <c r="A249" s="3" t="s">
        <v>61</v>
      </c>
      <c r="B249" s="3">
        <f>IF(OR($B$184=5,$B$184=6,$B$184=7,$B$184=8),3,0)</f>
        <v>0</v>
      </c>
      <c r="E249" s="18"/>
      <c r="F249" s="6"/>
      <c r="G249" s="6"/>
      <c r="H249" s="6"/>
      <c r="I249" s="6"/>
      <c r="J249" s="19"/>
    </row>
    <row r="250" spans="1:12" x14ac:dyDescent="0.25">
      <c r="A250" s="4" t="s">
        <v>115</v>
      </c>
      <c r="B250" s="4">
        <f>IF($B$184=12,4,0)</f>
        <v>0</v>
      </c>
    </row>
    <row r="251" spans="1:12" x14ac:dyDescent="0.25">
      <c r="A251" s="6"/>
      <c r="B251" s="327">
        <f>SUM(B247:B250)</f>
        <v>0</v>
      </c>
    </row>
    <row r="252" spans="1:12" x14ac:dyDescent="0.25">
      <c r="A252" s="6"/>
    </row>
    <row r="253" spans="1:12" x14ac:dyDescent="0.25">
      <c r="A253" t="s">
        <v>126</v>
      </c>
      <c r="B253" s="18">
        <f>IF(OR(AND(B251=2,I245&gt;1.5),AND(B251=2,I245=1,J246=1),AND(B251=2,OR(A193=$I$91,A194=$I$91,A189=$I$91,A190=$I$91))),0,IF(AND(B251&gt;1,B255=0),0,IF(I245&gt;1,0,IF(AND(B251=3,OR(A236=I168,A235=I168)),0,1))))</f>
        <v>1</v>
      </c>
      <c r="F253" s="407" t="s">
        <v>177</v>
      </c>
    </row>
    <row r="254" spans="1:12" x14ac:dyDescent="0.25">
      <c r="A254" t="s">
        <v>125</v>
      </c>
      <c r="B254" s="18">
        <f>IF(B251=1,0,IF(F244&gt;2,0,IF(J246&gt;0.5,0,1)))</f>
        <v>1</v>
      </c>
      <c r="F254" s="324" t="s">
        <v>178</v>
      </c>
    </row>
    <row r="255" spans="1:12" x14ac:dyDescent="0.25">
      <c r="A255" t="s">
        <v>127</v>
      </c>
      <c r="B255" s="18">
        <f>IF(AND($B$251=2,OR($A$193=$I$91,$A$194=$I$91,$A$189=$I$91,$A$190=$I$91,J246=1)),0,IF(OR($A$5=2,$A$5=3,$A$5=4),0,IF(AND(F244&gt;2,J246&gt;0.5),0,IF(I245&gt;1,0,IF(J246&gt;1,0,1)))))</f>
        <v>1</v>
      </c>
      <c r="F255" s="324" t="s">
        <v>179</v>
      </c>
    </row>
    <row r="256" spans="1:12" x14ac:dyDescent="0.25">
      <c r="A256" t="s">
        <v>128</v>
      </c>
      <c r="B256" s="18">
        <f>IF(AND(B228=2,I245&lt;3,J246&lt;1),1,0)</f>
        <v>0</v>
      </c>
      <c r="F256" s="324" t="s">
        <v>180</v>
      </c>
    </row>
    <row r="257" spans="1:9" x14ac:dyDescent="0.25">
      <c r="A257" t="s">
        <v>129</v>
      </c>
      <c r="B257" s="326">
        <v>0</v>
      </c>
      <c r="F257" s="324" t="s">
        <v>130</v>
      </c>
    </row>
    <row r="258" spans="1:9" x14ac:dyDescent="0.25">
      <c r="B258" s="327">
        <f>SUM(B253:B257)</f>
        <v>3</v>
      </c>
    </row>
    <row r="259" spans="1:9" x14ac:dyDescent="0.25">
      <c r="B259" s="312"/>
      <c r="E259" s="7">
        <v>1</v>
      </c>
    </row>
    <row r="260" spans="1:9" x14ac:dyDescent="0.25">
      <c r="E260" s="7">
        <v>2</v>
      </c>
      <c r="F260" s="342" t="s">
        <v>133</v>
      </c>
      <c r="I260" s="167"/>
    </row>
    <row r="261" spans="1:9" x14ac:dyDescent="0.25">
      <c r="E261" s="7">
        <v>3</v>
      </c>
      <c r="F261" s="342" t="s">
        <v>202</v>
      </c>
      <c r="I261" s="170"/>
    </row>
    <row r="262" spans="1:9" x14ac:dyDescent="0.25">
      <c r="A262" s="6"/>
      <c r="E262" s="7">
        <v>4</v>
      </c>
      <c r="F262" s="343" t="s">
        <v>134</v>
      </c>
    </row>
    <row r="263" spans="1:9" x14ac:dyDescent="0.25">
      <c r="A263" s="6"/>
      <c r="E263" s="7">
        <v>5</v>
      </c>
      <c r="F263" s="343" t="s">
        <v>135</v>
      </c>
    </row>
    <row r="264" spans="1:9" x14ac:dyDescent="0.25">
      <c r="A264" s="18"/>
      <c r="E264" s="7">
        <v>6</v>
      </c>
      <c r="F264" s="343" t="s">
        <v>136</v>
      </c>
    </row>
    <row r="265" spans="1:9" x14ac:dyDescent="0.25">
      <c r="A265" s="6"/>
      <c r="E265" s="7">
        <v>7</v>
      </c>
      <c r="F265" s="343" t="s">
        <v>137</v>
      </c>
    </row>
    <row r="266" spans="1:9" x14ac:dyDescent="0.25">
      <c r="A266" s="6"/>
      <c r="E266" s="7">
        <v>8</v>
      </c>
      <c r="F266" s="343" t="s">
        <v>189</v>
      </c>
    </row>
    <row r="267" spans="1:9" x14ac:dyDescent="0.25">
      <c r="A267" s="6"/>
      <c r="E267" s="7">
        <v>9</v>
      </c>
      <c r="F267" s="342" t="s">
        <v>138</v>
      </c>
    </row>
    <row r="268" spans="1:9" x14ac:dyDescent="0.25">
      <c r="A268" s="6"/>
      <c r="E268" s="7">
        <v>10</v>
      </c>
      <c r="F268" s="343" t="s">
        <v>139</v>
      </c>
    </row>
    <row r="269" spans="1:9" x14ac:dyDescent="0.25">
      <c r="A269" s="6"/>
      <c r="E269" s="7">
        <v>11</v>
      </c>
      <c r="F269" s="343" t="s">
        <v>140</v>
      </c>
    </row>
    <row r="270" spans="1:9" x14ac:dyDescent="0.25">
      <c r="A270" s="18"/>
      <c r="E270" s="7">
        <v>12</v>
      </c>
      <c r="F270" s="343" t="s">
        <v>141</v>
      </c>
    </row>
    <row r="272" spans="1:9" x14ac:dyDescent="0.25">
      <c r="E272" s="7">
        <v>1</v>
      </c>
    </row>
    <row r="273" spans="5:6" x14ac:dyDescent="0.25">
      <c r="E273" s="7">
        <v>2</v>
      </c>
      <c r="F273" s="341" t="s">
        <v>80</v>
      </c>
    </row>
    <row r="274" spans="5:6" x14ac:dyDescent="0.25">
      <c r="E274" s="7">
        <v>3</v>
      </c>
      <c r="F274" s="341" t="s">
        <v>191</v>
      </c>
    </row>
    <row r="275" spans="5:6" x14ac:dyDescent="0.25">
      <c r="E275" s="7">
        <v>4</v>
      </c>
      <c r="F275" s="341" t="s">
        <v>142</v>
      </c>
    </row>
    <row r="276" spans="5:6" x14ac:dyDescent="0.25">
      <c r="E276" s="7">
        <v>5</v>
      </c>
      <c r="F276" s="341" t="s">
        <v>186</v>
      </c>
    </row>
    <row r="277" spans="5:6" x14ac:dyDescent="0.25">
      <c r="E277" s="7">
        <v>6</v>
      </c>
      <c r="F277" s="344" t="s">
        <v>187</v>
      </c>
    </row>
    <row r="278" spans="5:6" x14ac:dyDescent="0.25">
      <c r="E278" s="7">
        <v>7</v>
      </c>
      <c r="F278" s="345" t="s">
        <v>188</v>
      </c>
    </row>
    <row r="279" spans="5:6" x14ac:dyDescent="0.25">
      <c r="E279" s="7">
        <v>8</v>
      </c>
      <c r="F279" s="344" t="s">
        <v>192</v>
      </c>
    </row>
    <row r="280" spans="5:6" x14ac:dyDescent="0.25">
      <c r="E280" s="7">
        <v>9</v>
      </c>
      <c r="F280" s="341" t="s">
        <v>143</v>
      </c>
    </row>
    <row r="281" spans="5:6" x14ac:dyDescent="0.25">
      <c r="E281" s="7">
        <v>10</v>
      </c>
      <c r="F281" s="344" t="s">
        <v>190</v>
      </c>
    </row>
    <row r="282" spans="5:6" x14ac:dyDescent="0.25">
      <c r="E282" s="7">
        <v>11</v>
      </c>
      <c r="F282" s="344" t="s">
        <v>193</v>
      </c>
    </row>
    <row r="283" spans="5:6" x14ac:dyDescent="0.25">
      <c r="E283" s="7">
        <v>12</v>
      </c>
      <c r="F283" s="344" t="s">
        <v>144</v>
      </c>
    </row>
    <row r="285" spans="5:6" x14ac:dyDescent="0.25">
      <c r="E285" s="7">
        <v>1</v>
      </c>
    </row>
    <row r="286" spans="5:6" x14ac:dyDescent="0.25">
      <c r="E286" s="7">
        <v>2</v>
      </c>
      <c r="F286" t="s">
        <v>184</v>
      </c>
    </row>
    <row r="287" spans="5:6" x14ac:dyDescent="0.25">
      <c r="E287" s="7">
        <v>3</v>
      </c>
      <c r="F287" t="s">
        <v>184</v>
      </c>
    </row>
    <row r="288" spans="5:6" x14ac:dyDescent="0.25">
      <c r="E288" s="7">
        <v>4</v>
      </c>
      <c r="F288" t="s">
        <v>184</v>
      </c>
    </row>
    <row r="289" spans="5:6" x14ac:dyDescent="0.25">
      <c r="E289" s="7">
        <v>5</v>
      </c>
      <c r="F289" t="s">
        <v>185</v>
      </c>
    </row>
    <row r="290" spans="5:6" x14ac:dyDescent="0.25">
      <c r="E290" s="7">
        <v>6</v>
      </c>
      <c r="F290" t="s">
        <v>185</v>
      </c>
    </row>
    <row r="291" spans="5:6" x14ac:dyDescent="0.25">
      <c r="E291" s="7">
        <v>7</v>
      </c>
      <c r="F291" t="s">
        <v>185</v>
      </c>
    </row>
    <row r="292" spans="5:6" x14ac:dyDescent="0.25">
      <c r="E292" s="7">
        <v>8</v>
      </c>
      <c r="F292" t="s">
        <v>185</v>
      </c>
    </row>
    <row r="293" spans="5:6" x14ac:dyDescent="0.25">
      <c r="E293" s="7">
        <v>9</v>
      </c>
      <c r="F293" t="s">
        <v>194</v>
      </c>
    </row>
    <row r="294" spans="5:6" x14ac:dyDescent="0.25">
      <c r="E294" s="7">
        <v>10</v>
      </c>
      <c r="F294" t="s">
        <v>194</v>
      </c>
    </row>
    <row r="295" spans="5:6" x14ac:dyDescent="0.25">
      <c r="E295" s="7">
        <v>11</v>
      </c>
      <c r="F295" t="s">
        <v>194</v>
      </c>
    </row>
    <row r="296" spans="5:6" x14ac:dyDescent="0.25">
      <c r="E296" s="7">
        <v>12</v>
      </c>
      <c r="F296" s="441" t="s">
        <v>195</v>
      </c>
    </row>
    <row r="297" spans="5:6" x14ac:dyDescent="0.25">
      <c r="F297" s="174"/>
    </row>
    <row r="298" spans="5:6" x14ac:dyDescent="0.25">
      <c r="F298" s="174"/>
    </row>
    <row r="301" spans="5:6" x14ac:dyDescent="0.25">
      <c r="F301" s="174"/>
    </row>
    <row r="302" spans="5:6" x14ac:dyDescent="0.25">
      <c r="F302" s="174"/>
    </row>
    <row r="303" spans="5:6" x14ac:dyDescent="0.25">
      <c r="F303" s="174"/>
    </row>
    <row r="304" spans="5:6" x14ac:dyDescent="0.25">
      <c r="F304" s="174"/>
    </row>
    <row r="305" spans="6:6" x14ac:dyDescent="0.25">
      <c r="F305" s="174"/>
    </row>
  </sheetData>
  <sortState xmlns:xlrd2="http://schemas.microsoft.com/office/spreadsheetml/2017/richdata2" ref="K142:K150">
    <sortCondition ref="K142"/>
  </sortState>
  <phoneticPr fontId="55" type="noConversion"/>
  <conditionalFormatting sqref="P19:P29">
    <cfRule type="cellIs" dxfId="40" priority="12" operator="equal">
      <formula>375</formula>
    </cfRule>
  </conditionalFormatting>
  <conditionalFormatting sqref="L106">
    <cfRule type="duplicateValues" dxfId="39" priority="10"/>
  </conditionalFormatting>
  <conditionalFormatting sqref="L106">
    <cfRule type="duplicateValues" dxfId="38" priority="11"/>
  </conditionalFormatting>
  <conditionalFormatting sqref="I114:I125 I154:I163">
    <cfRule type="duplicateValues" dxfId="37" priority="4"/>
  </conditionalFormatting>
  <conditionalFormatting sqref="I126:I131 I164:I175 I134:I137 I139:I141">
    <cfRule type="duplicateValues" dxfId="36" priority="3"/>
  </conditionalFormatting>
  <conditionalFormatting sqref="I132:I133">
    <cfRule type="duplicateValues" dxfId="35" priority="2"/>
  </conditionalFormatting>
  <conditionalFormatting sqref="I138">
    <cfRule type="duplicateValues" dxfId="34" priority="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6">
    <tabColor theme="4" tint="-0.249977111117893"/>
  </sheetPr>
  <dimension ref="A1:W34"/>
  <sheetViews>
    <sheetView zoomScaleNormal="100" workbookViewId="0"/>
  </sheetViews>
  <sheetFormatPr defaultColWidth="9.140625" defaultRowHeight="15" x14ac:dyDescent="0.25"/>
  <cols>
    <col min="1" max="1" width="7.7109375" style="190" customWidth="1"/>
    <col min="2" max="2" width="28" style="190" customWidth="1"/>
    <col min="3" max="3" width="3.42578125" style="189" customWidth="1"/>
    <col min="4" max="4" width="9.28515625" style="190" customWidth="1"/>
    <col min="5" max="5" width="7.7109375" style="190" customWidth="1"/>
    <col min="6" max="6" width="28.140625" style="190" customWidth="1"/>
    <col min="7" max="7" width="4.42578125" style="191" customWidth="1"/>
    <col min="8" max="8" width="6.5703125" style="192" customWidth="1"/>
    <col min="9" max="9" width="7.7109375" style="190" customWidth="1"/>
    <col min="10" max="10" width="27.5703125" style="190" customWidth="1"/>
    <col min="11" max="11" width="4.7109375" style="190" customWidth="1"/>
    <col min="12" max="12" width="6.5703125" style="190" customWidth="1"/>
    <col min="13" max="13" width="7.7109375" style="190" customWidth="1"/>
    <col min="14" max="14" width="30.42578125" style="190" customWidth="1"/>
    <col min="15" max="15" width="11" style="190" customWidth="1"/>
    <col min="16" max="16" width="3.7109375" style="190" customWidth="1"/>
    <col min="17" max="17" width="2.7109375" style="190" customWidth="1"/>
    <col min="18" max="16384" width="9.140625" style="190"/>
  </cols>
  <sheetData>
    <row r="1" spans="1:23" s="214" customFormat="1" ht="36" x14ac:dyDescent="0.55000000000000004">
      <c r="A1" s="211" t="s">
        <v>34</v>
      </c>
      <c r="B1" s="212" t="s">
        <v>116</v>
      </c>
      <c r="C1" s="213"/>
      <c r="G1" s="215"/>
      <c r="H1" s="216"/>
      <c r="J1" s="217"/>
      <c r="K1" s="217" t="str">
        <f>IF(AND(Q1=1,'Data stx'!E244=6,D21=75),"Du har seks A fag og må gange dit gennemsnit med 1,06",IF(AND(Q1=1,'Data stx'!E244=5,D21=75),"Du har fem A fag og må gange dit gennemsnit med 1,03",""))</f>
        <v/>
      </c>
      <c r="L1" s="218"/>
      <c r="M1" s="218"/>
      <c r="N1" s="219"/>
      <c r="O1" s="220" t="str">
        <f>IF(AND(O3&gt;1704,P1=0,D17=75),"TILLYKKE, Du har valgt en gyldig HF uddannelse"," ")</f>
        <v xml:space="preserve"> </v>
      </c>
      <c r="P1" s="271">
        <f>O2+L12+M14</f>
        <v>0</v>
      </c>
      <c r="Q1" s="271">
        <f>IF(AND(L20=250,O3=1700),0,IF(AND(O3&gt;1704,P1=0),1,0))</f>
        <v>0</v>
      </c>
      <c r="R1" s="221"/>
    </row>
    <row r="2" spans="1:23" ht="24.95" customHeight="1" x14ac:dyDescent="0.25">
      <c r="B2" s="336" t="str">
        <f>IF(AND(O3&gt;1704,P1=0,D17=75)," ","Du er færdig med at vælge når beskeden 'TILLYKKE, Du har en gyldig HF uddannelse' vises øverst til højre")</f>
        <v>Du er færdig med at vælge når beskeden 'TILLYKKE, Du har en gyldig HF uddannelse' vises øverst til højre</v>
      </c>
      <c r="C2" s="199"/>
      <c r="D2" s="195"/>
      <c r="F2" s="195"/>
      <c r="G2" s="222"/>
      <c r="H2" s="223"/>
      <c r="J2" s="245"/>
      <c r="K2" s="195"/>
      <c r="L2" s="195"/>
      <c r="O2" s="334">
        <f>IF(J6="",0,1)</f>
        <v>0</v>
      </c>
      <c r="P2" s="197"/>
      <c r="Q2" s="197"/>
      <c r="R2" s="197"/>
      <c r="S2" s="197"/>
    </row>
    <row r="3" spans="1:23" ht="24.95" customHeight="1" x14ac:dyDescent="0.25">
      <c r="A3" s="195"/>
      <c r="B3" s="225" t="s">
        <v>55</v>
      </c>
      <c r="C3" s="232"/>
      <c r="D3" s="226">
        <v>1705</v>
      </c>
      <c r="E3" s="195"/>
      <c r="F3" s="225" t="s">
        <v>22</v>
      </c>
      <c r="G3" s="232"/>
      <c r="H3" s="226">
        <f>SUM(H4:H18)</f>
        <v>1330</v>
      </c>
      <c r="I3" s="195"/>
      <c r="K3" s="335"/>
      <c r="L3" s="335"/>
      <c r="M3" s="272">
        <f>D3-O3</f>
        <v>375</v>
      </c>
      <c r="N3" s="225" t="s">
        <v>23</v>
      </c>
      <c r="O3" s="248">
        <f>D6+D15+H3+L8+L15</f>
        <v>1330</v>
      </c>
      <c r="R3" s="193"/>
      <c r="V3" s="235"/>
      <c r="W3" s="235"/>
    </row>
    <row r="4" spans="1:23" ht="15" customHeight="1" x14ac:dyDescent="0.25">
      <c r="B4" s="195"/>
      <c r="C4" s="199"/>
      <c r="D4" s="195"/>
      <c r="E4" s="195"/>
      <c r="F4" s="227"/>
      <c r="G4" s="228"/>
      <c r="H4" s="229"/>
      <c r="I4" s="195"/>
      <c r="J4" s="513" t="str">
        <f>IF(M3&lt;1," ",IF(AND(D17=0,C6&gt;1),"Du skal vælge kunstnerisk fag",IF(M3&lt;26,"Du skal vælge et løft i stedet for ét C-fag",IF(AND(OR(C6=4,C6=3,C6=5,C6=8),M3&lt;76),"Du skal vælge ét C-fag eller ét løft",IF(AND(OR(C6=2,C6=6,C6=7,C6=9),M3&lt;151),"Du skal vælge ét løft af fag til B-niveau"," ")))))</f>
        <v xml:space="preserve"> </v>
      </c>
      <c r="K4" s="513"/>
      <c r="L4" s="513"/>
      <c r="M4" s="201"/>
      <c r="O4" s="193"/>
      <c r="V4" s="235"/>
      <c r="W4" s="235"/>
    </row>
    <row r="5" spans="1:23" ht="15" customHeight="1" x14ac:dyDescent="0.25">
      <c r="A5" s="195"/>
      <c r="B5" s="195"/>
      <c r="C5" s="199"/>
      <c r="D5" s="195"/>
      <c r="E5" s="195"/>
      <c r="F5" s="234" t="s">
        <v>0</v>
      </c>
      <c r="G5" s="235" t="s">
        <v>1</v>
      </c>
      <c r="H5" s="236">
        <v>260</v>
      </c>
      <c r="I5" s="195"/>
      <c r="J5" s="335"/>
      <c r="K5" s="335"/>
      <c r="L5" s="335"/>
      <c r="M5" s="202"/>
      <c r="N5" s="264" t="str">
        <f>IF(C6=1,"","Du har valgt studieretningen:")</f>
        <v/>
      </c>
      <c r="O5" s="200"/>
      <c r="V5" s="235"/>
    </row>
    <row r="6" spans="1:23" x14ac:dyDescent="0.25">
      <c r="A6" s="195"/>
      <c r="B6" s="250" t="s">
        <v>86</v>
      </c>
      <c r="C6" s="269">
        <v>1</v>
      </c>
      <c r="D6" s="251">
        <f>D10+D11+IF(D12=" ",0,D12)</f>
        <v>0</v>
      </c>
      <c r="E6" s="195"/>
      <c r="F6" s="234" t="s">
        <v>2</v>
      </c>
      <c r="G6" s="235" t="s">
        <v>6</v>
      </c>
      <c r="H6" s="236">
        <v>210</v>
      </c>
      <c r="I6" s="195"/>
      <c r="J6" s="513" t="str">
        <f>IF(OR(AND(C6=5,L11=125),(AND(C6=5,L20=250,O3=1700))),"",IF(O3&gt;1781,"Dit samlede timetal er for højt",""))</f>
        <v/>
      </c>
      <c r="K6" s="513"/>
      <c r="L6" s="513"/>
      <c r="M6" s="204"/>
      <c r="N6" s="263" t="str">
        <f>IF(D6&gt;1,'Data HF'!A6,"")</f>
        <v/>
      </c>
      <c r="O6" s="205"/>
      <c r="V6" s="235"/>
    </row>
    <row r="7" spans="1:23" x14ac:dyDescent="0.25">
      <c r="A7" s="195"/>
      <c r="B7" s="244"/>
      <c r="C7" s="199"/>
      <c r="D7" s="246"/>
      <c r="E7" s="195"/>
      <c r="F7" s="234" t="s">
        <v>47</v>
      </c>
      <c r="G7" s="235" t="s">
        <v>6</v>
      </c>
      <c r="H7" s="236">
        <v>150</v>
      </c>
      <c r="I7" s="195"/>
      <c r="M7" s="202"/>
      <c r="O7" s="200"/>
      <c r="V7" s="235"/>
    </row>
    <row r="8" spans="1:23" x14ac:dyDescent="0.25">
      <c r="A8" s="195"/>
      <c r="B8" s="244"/>
      <c r="C8" s="199"/>
      <c r="D8" s="246"/>
      <c r="E8" s="195"/>
      <c r="F8" s="234" t="s">
        <v>39</v>
      </c>
      <c r="G8" s="235" t="s">
        <v>4</v>
      </c>
      <c r="H8" s="236">
        <v>75</v>
      </c>
      <c r="I8" s="195"/>
      <c r="J8" s="225" t="s">
        <v>73</v>
      </c>
      <c r="K8" s="232"/>
      <c r="L8" s="337">
        <f>L11</f>
        <v>0</v>
      </c>
      <c r="M8" s="204"/>
      <c r="N8" s="264" t="str">
        <f>IF(C6=1,"","Dine fag i fagpakken er:")</f>
        <v/>
      </c>
      <c r="O8" s="204"/>
      <c r="V8" s="235"/>
    </row>
    <row r="9" spans="1:23" x14ac:dyDescent="0.25">
      <c r="A9" s="195"/>
      <c r="B9" s="244"/>
      <c r="C9" s="199"/>
      <c r="D9" s="246"/>
      <c r="E9" s="195"/>
      <c r="F9" s="234" t="s">
        <v>87</v>
      </c>
      <c r="G9" s="235" t="s">
        <v>4</v>
      </c>
      <c r="H9" s="236">
        <v>75</v>
      </c>
      <c r="I9" s="195"/>
      <c r="J9" s="240"/>
      <c r="K9" s="241"/>
      <c r="L9" s="242"/>
      <c r="M9" s="202"/>
      <c r="N9" s="263" t="str">
        <f>IF(D6&gt;1,B10&amp;" "&amp;C10,"")</f>
        <v/>
      </c>
      <c r="O9" s="200"/>
      <c r="V9" s="235"/>
    </row>
    <row r="10" spans="1:23" ht="14.45" customHeight="1" x14ac:dyDescent="0.25">
      <c r="A10" s="195"/>
      <c r="B10" s="234" t="str">
        <f>VLOOKUP('Data HF'!$A$5,'Data HF'!$E$14:$K$24,2,)</f>
        <v xml:space="preserve"> </v>
      </c>
      <c r="C10" s="235" t="str">
        <f>VLOOKUP('Data HF'!$A$5,'Data HF'!$E$14:$K$24,3,)</f>
        <v xml:space="preserve"> </v>
      </c>
      <c r="D10" s="236">
        <f>VLOOKUP('Data HF'!$A$5,'Data HF'!$E$14:$K$24,4,)</f>
        <v>0</v>
      </c>
      <c r="E10" s="195"/>
      <c r="F10" s="234" t="s">
        <v>38</v>
      </c>
      <c r="G10" s="235" t="s">
        <v>4</v>
      </c>
      <c r="H10" s="236">
        <v>75</v>
      </c>
      <c r="I10" s="195"/>
      <c r="J10" s="234" t="s">
        <v>10</v>
      </c>
      <c r="K10" s="233">
        <v>1</v>
      </c>
      <c r="M10" s="333"/>
      <c r="N10" s="263" t="str">
        <f>IF(D6&gt;1,B11&amp;" "&amp;C11,"")</f>
        <v/>
      </c>
      <c r="O10" s="205"/>
      <c r="V10" s="235"/>
    </row>
    <row r="11" spans="1:23" x14ac:dyDescent="0.25">
      <c r="A11" s="195"/>
      <c r="B11" s="234" t="str">
        <f>VLOOKUP('Data HF'!$A$5,'Data HF'!$E$14:$K$24,5,)</f>
        <v xml:space="preserve"> </v>
      </c>
      <c r="C11" s="235" t="str">
        <f>VLOOKUP('Data HF'!$A$5,'Data HF'!$E$14:$K$24,6,)</f>
        <v xml:space="preserve"> </v>
      </c>
      <c r="D11" s="236">
        <f>VLOOKUP('Data HF'!$A$5,'Data HF'!$E$14:$K$24,7,)</f>
        <v>0</v>
      </c>
      <c r="E11" s="195"/>
      <c r="F11" s="234" t="s">
        <v>3</v>
      </c>
      <c r="G11" s="235" t="s">
        <v>4</v>
      </c>
      <c r="H11" s="236">
        <v>135</v>
      </c>
      <c r="I11" s="195"/>
      <c r="J11" s="230"/>
      <c r="K11" s="235" t="str">
        <f>VLOOKUP('Data HF'!A51,'Data HF'!F49:H62,2,)</f>
        <v/>
      </c>
      <c r="L11" s="236">
        <f>VLOOKUP('Data HF'!A51,'Data HF'!F49:H62,3,)</f>
        <v>0</v>
      </c>
      <c r="M11" s="274"/>
      <c r="O11" s="205"/>
      <c r="V11" s="235"/>
    </row>
    <row r="12" spans="1:23" ht="15" customHeight="1" x14ac:dyDescent="0.25">
      <c r="A12" s="195"/>
      <c r="B12" s="252"/>
      <c r="C12" s="224"/>
      <c r="D12" s="253"/>
      <c r="E12" s="195"/>
      <c r="F12" s="234" t="s">
        <v>49</v>
      </c>
      <c r="G12" s="235" t="s">
        <v>4</v>
      </c>
      <c r="H12" s="236">
        <v>75</v>
      </c>
      <c r="I12" s="195"/>
      <c r="J12" s="247"/>
      <c r="K12" s="224"/>
      <c r="L12" s="273"/>
      <c r="M12" s="274"/>
      <c r="N12" s="264" t="str">
        <f>IF(D17=0,"","Dit kunstneriske fag er:")</f>
        <v/>
      </c>
      <c r="O12" s="205"/>
    </row>
    <row r="13" spans="1:23" ht="15" customHeight="1" x14ac:dyDescent="0.25">
      <c r="A13" s="195"/>
      <c r="B13" s="200"/>
      <c r="C13" s="200"/>
      <c r="D13" s="200"/>
      <c r="E13" s="195"/>
      <c r="F13" s="234" t="s">
        <v>5</v>
      </c>
      <c r="G13" s="235" t="s">
        <v>4</v>
      </c>
      <c r="H13" s="236">
        <v>75</v>
      </c>
      <c r="I13" s="195"/>
      <c r="J13" s="276"/>
      <c r="K13" s="276"/>
      <c r="L13" s="276"/>
      <c r="M13" s="202"/>
      <c r="N13" s="263" t="str">
        <f>IF(D17&gt;1,'Data HF'!A44&amp;" "&amp;'Data HF'!B44,"")</f>
        <v/>
      </c>
      <c r="O13" s="205"/>
    </row>
    <row r="14" spans="1:23" ht="15" customHeight="1" x14ac:dyDescent="0.25">
      <c r="B14" s="195"/>
      <c r="C14" s="199"/>
      <c r="D14" s="195"/>
      <c r="E14" s="195"/>
      <c r="F14" s="234"/>
      <c r="G14" s="235"/>
      <c r="H14" s="236"/>
      <c r="I14" s="195"/>
      <c r="J14" s="276"/>
      <c r="K14" s="276"/>
      <c r="L14" s="276"/>
      <c r="M14" s="193"/>
      <c r="O14" s="205"/>
    </row>
    <row r="15" spans="1:23" x14ac:dyDescent="0.25">
      <c r="A15" s="195"/>
      <c r="B15" s="259" t="s">
        <v>95</v>
      </c>
      <c r="C15" s="270">
        <v>1</v>
      </c>
      <c r="D15" s="260">
        <f>D17</f>
        <v>0</v>
      </c>
      <c r="E15" s="195"/>
      <c r="F15" s="234" t="s">
        <v>88</v>
      </c>
      <c r="G15" s="249"/>
      <c r="H15" s="236">
        <v>70</v>
      </c>
      <c r="I15" s="195"/>
      <c r="J15" s="259" t="s">
        <v>58</v>
      </c>
      <c r="K15" s="279"/>
      <c r="L15" s="280">
        <f>L17+L20</f>
        <v>0</v>
      </c>
      <c r="M15" s="202"/>
      <c r="N15" s="264" t="str">
        <f>IF(AND(L11=0,L17=0,L20=0),"","Dit valgfag eller løft:")</f>
        <v/>
      </c>
      <c r="O15" s="205"/>
    </row>
    <row r="16" spans="1:23" x14ac:dyDescent="0.25">
      <c r="A16" s="195"/>
      <c r="B16" s="261"/>
      <c r="C16" s="228"/>
      <c r="D16" s="262"/>
      <c r="E16" s="195"/>
      <c r="F16" s="234" t="s">
        <v>66</v>
      </c>
      <c r="G16" s="237"/>
      <c r="H16" s="236">
        <f>IF(AND(OR(C6=5,C6=4),L17=125,L20=125),80,IF(AND(C6=3,OR(L20=125,L17=125)),80,80))</f>
        <v>80</v>
      </c>
      <c r="I16" s="195"/>
      <c r="J16" s="234" t="s">
        <v>83</v>
      </c>
      <c r="K16" s="233">
        <v>1</v>
      </c>
      <c r="L16" s="243"/>
      <c r="M16" s="204"/>
      <c r="N16" s="263" t="str">
        <f>IF(N$15="","",IF(L11=0,"",'Data HF'!A51&amp;" "&amp;'Data HF'!B51))</f>
        <v/>
      </c>
      <c r="O16" s="205"/>
    </row>
    <row r="17" spans="1:15" x14ac:dyDescent="0.25">
      <c r="A17" s="195"/>
      <c r="B17" s="256"/>
      <c r="C17" s="235" t="str">
        <f>VLOOKUP('Data HF'!$A$44,'Data HF'!$F$42:$H$47,2,)</f>
        <v/>
      </c>
      <c r="D17" s="236">
        <f>VLOOKUP('Data HF'!$A$44,'Data HF'!$F$42:$H$47,3,)</f>
        <v>0</v>
      </c>
      <c r="E17" s="195"/>
      <c r="F17" s="234" t="s">
        <v>89</v>
      </c>
      <c r="G17" s="238"/>
      <c r="H17" s="239">
        <v>25</v>
      </c>
      <c r="I17" s="195"/>
      <c r="J17" s="230"/>
      <c r="K17" s="235" t="str">
        <f>VLOOKUP('Data HF'!A85,'Data HF'!F82:H98,2,)</f>
        <v/>
      </c>
      <c r="L17" s="236">
        <f>VLOOKUP('Data HF'!A85,'Data HF'!F82:H98,3,)</f>
        <v>0</v>
      </c>
      <c r="M17" s="202"/>
      <c r="N17" s="263" t="str">
        <f>IF(N$15="","",IF(L17=0,"",IF(L17=0,"",'Data HF'!A85&amp;" "&amp;'Data HF'!B85&amp;" "&amp;"(løft)")))</f>
        <v/>
      </c>
      <c r="O17" s="205"/>
    </row>
    <row r="18" spans="1:15" x14ac:dyDescent="0.25">
      <c r="A18" s="195"/>
      <c r="B18" s="257"/>
      <c r="C18" s="224"/>
      <c r="D18" s="253"/>
      <c r="E18" s="195"/>
      <c r="F18" s="252" t="s">
        <v>90</v>
      </c>
      <c r="G18" s="231"/>
      <c r="H18" s="255">
        <v>25</v>
      </c>
      <c r="I18" s="195"/>
      <c r="J18" s="281"/>
      <c r="K18" s="282"/>
      <c r="L18" s="283"/>
      <c r="M18" s="204"/>
      <c r="O18" s="205"/>
    </row>
    <row r="19" spans="1:15" ht="15" customHeight="1" x14ac:dyDescent="0.25">
      <c r="A19" s="198"/>
      <c r="B19" s="268" t="str">
        <f>IF(OR(C6=4,C6=5),"** Du har valgt idræt med denne pakke",IF(C6=8,"** Du har valgt mediefag med denne pakke",""))</f>
        <v/>
      </c>
      <c r="C19" s="190"/>
      <c r="E19" s="195"/>
      <c r="F19" s="202"/>
      <c r="G19" s="202"/>
      <c r="H19" s="208"/>
      <c r="I19" s="195"/>
      <c r="J19" s="523" t="s">
        <v>94</v>
      </c>
      <c r="K19" s="523"/>
      <c r="L19" s="523"/>
      <c r="M19" s="202" t="s">
        <v>20</v>
      </c>
      <c r="N19" s="518" t="s">
        <v>101</v>
      </c>
      <c r="O19" s="518"/>
    </row>
    <row r="20" spans="1:15" ht="15" customHeight="1" x14ac:dyDescent="0.25">
      <c r="A20" s="195"/>
      <c r="B20" s="207"/>
      <c r="D20" s="196"/>
      <c r="E20" s="198"/>
      <c r="F20" s="202"/>
      <c r="G20" s="202"/>
      <c r="H20" s="208"/>
      <c r="I20" s="195"/>
      <c r="J20" s="202"/>
      <c r="K20" s="235"/>
      <c r="L20" s="254"/>
      <c r="M20" s="200"/>
      <c r="N20" s="519"/>
      <c r="O20" s="519"/>
    </row>
    <row r="21" spans="1:15" x14ac:dyDescent="0.25">
      <c r="A21" s="198"/>
      <c r="B21" s="206"/>
      <c r="C21" s="235"/>
      <c r="D21" s="258"/>
      <c r="E21" s="198"/>
      <c r="F21" s="202"/>
      <c r="G21" s="202"/>
      <c r="H21" s="203"/>
      <c r="I21" s="195"/>
      <c r="M21" s="209"/>
    </row>
    <row r="22" spans="1:15" ht="15" customHeight="1" x14ac:dyDescent="0.25">
      <c r="B22" s="225" t="s">
        <v>92</v>
      </c>
      <c r="C22" s="266" t="str">
        <f>IF(C6=1,"",VLOOKUP('Data HF'!$A$5,'Data HF'!$E$5:$N$12,2,))</f>
        <v/>
      </c>
      <c r="D22" s="266"/>
      <c r="E22" s="266"/>
      <c r="F22" s="266"/>
      <c r="G22" s="266" t="s">
        <v>93</v>
      </c>
      <c r="H22" s="266"/>
      <c r="I22" s="266"/>
      <c r="J22" s="266" t="str">
        <f>IF(OR(C6&gt;1),N9&amp;" og "&amp;N10,"")</f>
        <v/>
      </c>
      <c r="K22" s="266"/>
      <c r="L22" s="266"/>
      <c r="M22" s="266"/>
      <c r="N22" s="266" t="s">
        <v>91</v>
      </c>
      <c r="O22" s="267"/>
    </row>
    <row r="23" spans="1:15" ht="30.75" customHeight="1" x14ac:dyDescent="0.25">
      <c r="A23" s="195"/>
      <c r="B23" s="520" t="str">
        <f>IF(C6=1,"",VLOOKUP('Data HF'!$A$5,'Data HF'!$E$155:$F$163,2,))</f>
        <v/>
      </c>
      <c r="C23" s="516"/>
      <c r="D23" s="516"/>
      <c r="E23" s="516"/>
      <c r="F23" s="516"/>
      <c r="G23" s="516"/>
      <c r="H23" s="516"/>
      <c r="I23" s="516"/>
      <c r="J23" s="516"/>
      <c r="K23" s="516"/>
      <c r="L23" s="516"/>
      <c r="M23" s="516"/>
      <c r="N23" s="516"/>
      <c r="O23" s="517"/>
    </row>
    <row r="24" spans="1:15" ht="19.5" customHeight="1" x14ac:dyDescent="0.25">
      <c r="B24" s="514" t="str">
        <f>IF(C6=1,"",VLOOKUP('Data HF'!$A$5,'Data HF'!$E$166:$F$174,2,))</f>
        <v/>
      </c>
      <c r="C24" s="515"/>
      <c r="D24" s="515"/>
      <c r="E24" s="515"/>
      <c r="F24" s="515"/>
      <c r="G24" s="515"/>
      <c r="H24" s="515"/>
      <c r="I24" s="515"/>
      <c r="J24" s="515"/>
      <c r="K24" s="515"/>
      <c r="L24" s="515"/>
      <c r="M24" s="515"/>
      <c r="N24" s="521" t="str">
        <f>IF(C6&lt;2,"","www.ug.dk/vaerktoej/adgangskortet")</f>
        <v/>
      </c>
      <c r="O24" s="522"/>
    </row>
    <row r="25" spans="1:15" ht="20.25" customHeight="1" x14ac:dyDescent="0.25">
      <c r="B25" s="520" t="str">
        <f>IF(C6=1,"",VLOOKUP('Data HF'!$A$5,'Data HF'!$E$177:$F$185,2,))</f>
        <v/>
      </c>
      <c r="C25" s="516"/>
      <c r="D25" s="516"/>
      <c r="E25" s="516"/>
      <c r="F25" s="516"/>
      <c r="G25" s="516"/>
      <c r="H25" s="516"/>
      <c r="I25" s="516"/>
      <c r="J25" s="516"/>
      <c r="K25" s="516"/>
      <c r="L25" s="516"/>
      <c r="M25" s="516"/>
      <c r="N25" s="516"/>
      <c r="O25" s="517"/>
    </row>
    <row r="26" spans="1:15" ht="20.25" customHeight="1" x14ac:dyDescent="0.25">
      <c r="J26" s="195"/>
    </row>
    <row r="27" spans="1:15" x14ac:dyDescent="0.25">
      <c r="J27" s="195"/>
    </row>
    <row r="31" spans="1:15" x14ac:dyDescent="0.25">
      <c r="J31" s="210"/>
    </row>
    <row r="32" spans="1:15" x14ac:dyDescent="0.25">
      <c r="J32" s="194"/>
    </row>
    <row r="33" spans="10:10" x14ac:dyDescent="0.25">
      <c r="J33" s="194"/>
    </row>
    <row r="34" spans="10:10" x14ac:dyDescent="0.25">
      <c r="J34" s="194"/>
    </row>
  </sheetData>
  <sortState xmlns:xlrd2="http://schemas.microsoft.com/office/spreadsheetml/2017/richdata2" ref="V3:V8">
    <sortCondition ref="V3"/>
  </sortState>
  <mergeCells count="9">
    <mergeCell ref="J4:L4"/>
    <mergeCell ref="J6:L6"/>
    <mergeCell ref="B24:M24"/>
    <mergeCell ref="N25:O25"/>
    <mergeCell ref="N19:O20"/>
    <mergeCell ref="B25:M25"/>
    <mergeCell ref="N24:O24"/>
    <mergeCell ref="J19:L19"/>
    <mergeCell ref="B23:O23"/>
  </mergeCells>
  <conditionalFormatting sqref="H8:H9">
    <cfRule type="cellIs" dxfId="33" priority="8" operator="equal">
      <formula>125</formula>
    </cfRule>
  </conditionalFormatting>
  <conditionalFormatting sqref="V9 V5">
    <cfRule type="expression" dxfId="32" priority="7">
      <formula>$G$8="C"</formula>
    </cfRule>
  </conditionalFormatting>
  <conditionalFormatting sqref="V3:W4">
    <cfRule type="expression" dxfId="31" priority="3">
      <formula>$G$8="C"</formula>
    </cfRule>
  </conditionalFormatting>
  <conditionalFormatting sqref="J31 J26:J27">
    <cfRule type="duplicateValues" dxfId="30" priority="47"/>
  </conditionalFormatting>
  <hyperlinks>
    <hyperlink ref="N19" location="Grafik!A1" display="Grafik!A1" xr:uid="{00000000-0004-0000-0400-000000000000}"/>
    <hyperlink ref="A1" location="Index!A1" display="Home" xr:uid="{00000000-0004-0000-0400-000001000000}"/>
    <hyperlink ref="N24:O24" r:id="rId1" display="http://www.ug.dk/vaerktoej/adgangskortet" xr:uid="{00000000-0004-0000-0400-000002000000}"/>
    <hyperlink ref="N19:O20" location="'Grafik HF'!A1" display="&gt;&gt; Se din studieretning i grafik &lt;&lt;" xr:uid="{00000000-0004-0000-0400-000003000000}"/>
  </hyperlinks>
  <pageMargins left="0.7" right="0.7" top="0.75" bottom="0.75" header="0.3" footer="0.3"/>
  <pageSetup paperSize="8"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5602" r:id="rId5" name="Drop Down 2">
              <controlPr defaultSize="0" autoLine="0" autoPict="0">
                <anchor>
                  <from>
                    <xdr:col>1</xdr:col>
                    <xdr:colOff>28575</xdr:colOff>
                    <xdr:row>7</xdr:row>
                    <xdr:rowOff>38100</xdr:rowOff>
                  </from>
                  <to>
                    <xdr:col>1</xdr:col>
                    <xdr:colOff>1828800</xdr:colOff>
                    <xdr:row>8</xdr:row>
                    <xdr:rowOff>57150</xdr:rowOff>
                  </to>
                </anchor>
              </controlPr>
            </control>
          </mc:Choice>
        </mc:AlternateContent>
        <mc:AlternateContent xmlns:mc="http://schemas.openxmlformats.org/markup-compatibility/2006">
          <mc:Choice Requires="x14">
            <control shapeId="25603" r:id="rId6" name="Drop Down 3">
              <controlPr defaultSize="0" autoLine="0" autoPict="0">
                <anchor>
                  <from>
                    <xdr:col>9</xdr:col>
                    <xdr:colOff>28575</xdr:colOff>
                    <xdr:row>10</xdr:row>
                    <xdr:rowOff>9525</xdr:rowOff>
                  </from>
                  <to>
                    <xdr:col>9</xdr:col>
                    <xdr:colOff>1819275</xdr:colOff>
                    <xdr:row>11</xdr:row>
                    <xdr:rowOff>19050</xdr:rowOff>
                  </to>
                </anchor>
              </controlPr>
            </control>
          </mc:Choice>
        </mc:AlternateContent>
        <mc:AlternateContent xmlns:mc="http://schemas.openxmlformats.org/markup-compatibility/2006">
          <mc:Choice Requires="x14">
            <control shapeId="25605" r:id="rId7" name="Drop Down 5">
              <controlPr defaultSize="0" autoLine="0" autoPict="0">
                <anchor>
                  <from>
                    <xdr:col>9</xdr:col>
                    <xdr:colOff>38100</xdr:colOff>
                    <xdr:row>16</xdr:row>
                    <xdr:rowOff>9525</xdr:rowOff>
                  </from>
                  <to>
                    <xdr:col>10</xdr:col>
                    <xdr:colOff>0</xdr:colOff>
                    <xdr:row>17</xdr:row>
                    <xdr:rowOff>19050</xdr:rowOff>
                  </to>
                </anchor>
              </controlPr>
            </control>
          </mc:Choice>
        </mc:AlternateContent>
        <mc:AlternateContent xmlns:mc="http://schemas.openxmlformats.org/markup-compatibility/2006">
          <mc:Choice Requires="x14">
            <control shapeId="25607" r:id="rId8" name="Drop Down 7">
              <controlPr defaultSize="0" autoLine="0" autoPict="0">
                <anchor>
                  <from>
                    <xdr:col>1</xdr:col>
                    <xdr:colOff>57150</xdr:colOff>
                    <xdr:row>15</xdr:row>
                    <xdr:rowOff>171450</xdr:rowOff>
                  </from>
                  <to>
                    <xdr:col>1</xdr:col>
                    <xdr:colOff>1847850</xdr:colOff>
                    <xdr:row>16</xdr:row>
                    <xdr:rowOff>180975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7">
    <tabColor theme="4" tint="0.39997558519241921"/>
  </sheetPr>
  <dimension ref="A1:Y197"/>
  <sheetViews>
    <sheetView topLeftCell="A10" workbookViewId="0">
      <selection activeCell="A11" sqref="A11"/>
    </sheetView>
  </sheetViews>
  <sheetFormatPr defaultRowHeight="15" x14ac:dyDescent="0.25"/>
  <cols>
    <col min="1" max="1" width="27.42578125" style="7" customWidth="1"/>
    <col min="2" max="3" width="4.7109375" style="18" customWidth="1"/>
    <col min="4" max="4" width="8.140625" style="18" customWidth="1"/>
    <col min="5" max="5" width="4.7109375" style="7" customWidth="1"/>
    <col min="6" max="6" width="27.7109375" style="8" customWidth="1"/>
    <col min="7" max="7" width="4" style="7" customWidth="1"/>
    <col min="8" max="8" width="5.7109375" customWidth="1"/>
    <col min="9" max="9" width="27.7109375" customWidth="1"/>
    <col min="10" max="10" width="17.28515625" customWidth="1"/>
    <col min="11" max="11" width="7.140625" customWidth="1"/>
    <col min="12" max="13" width="4" customWidth="1"/>
    <col min="14" max="14" width="5.140625" customWidth="1"/>
    <col min="15" max="15" width="4" bestFit="1" customWidth="1"/>
    <col min="16" max="16" width="4.5703125" customWidth="1"/>
    <col min="17" max="17" width="4.85546875" customWidth="1"/>
    <col min="18" max="19" width="9.140625" customWidth="1"/>
  </cols>
  <sheetData>
    <row r="1" spans="1:20" ht="31.5" x14ac:dyDescent="0.25">
      <c r="A1" s="9" t="s">
        <v>46</v>
      </c>
      <c r="B1" s="20"/>
      <c r="C1" s="20"/>
      <c r="D1" s="20"/>
      <c r="T1" s="125"/>
    </row>
    <row r="2" spans="1:20" x14ac:dyDescent="0.25">
      <c r="T2" s="125"/>
    </row>
    <row r="3" spans="1:20" x14ac:dyDescent="0.25">
      <c r="T3" s="125"/>
    </row>
    <row r="4" spans="1:20" x14ac:dyDescent="0.25">
      <c r="A4" s="22" t="s">
        <v>13</v>
      </c>
      <c r="B4" s="21"/>
      <c r="C4" s="21"/>
      <c r="E4" s="7">
        <v>1</v>
      </c>
      <c r="F4" s="8" t="s">
        <v>11</v>
      </c>
      <c r="T4" s="125"/>
    </row>
    <row r="5" spans="1:20" x14ac:dyDescent="0.25">
      <c r="A5" s="14">
        <f>'Beregn HF'!C6</f>
        <v>1</v>
      </c>
      <c r="B5" s="14"/>
      <c r="C5" s="14"/>
      <c r="E5" s="7">
        <v>2</v>
      </c>
      <c r="F5" s="64" t="s">
        <v>102</v>
      </c>
      <c r="T5" s="125"/>
    </row>
    <row r="6" spans="1:20" x14ac:dyDescent="0.25">
      <c r="A6" s="23" t="str">
        <f>VLOOKUP('Data HF'!A5,'Data HF'!E4:H12,2,)</f>
        <v>VÆLG</v>
      </c>
      <c r="B6" s="15"/>
      <c r="C6" s="15"/>
      <c r="D6" s="17"/>
      <c r="E6" s="7">
        <v>3</v>
      </c>
      <c r="F6" s="64" t="s">
        <v>103</v>
      </c>
      <c r="T6" s="125"/>
    </row>
    <row r="7" spans="1:20" x14ac:dyDescent="0.25">
      <c r="E7" s="7">
        <v>4</v>
      </c>
      <c r="F7" s="64" t="s">
        <v>104</v>
      </c>
      <c r="T7" s="125"/>
    </row>
    <row r="8" spans="1:20" x14ac:dyDescent="0.25">
      <c r="E8" s="7">
        <v>5</v>
      </c>
      <c r="F8" s="64" t="s">
        <v>105</v>
      </c>
      <c r="I8" s="1"/>
      <c r="T8" s="125"/>
    </row>
    <row r="9" spans="1:20" x14ac:dyDescent="0.25">
      <c r="E9" s="7">
        <v>6</v>
      </c>
      <c r="F9" s="64" t="s">
        <v>106</v>
      </c>
      <c r="I9" s="1"/>
      <c r="T9" s="125"/>
    </row>
    <row r="10" spans="1:20" x14ac:dyDescent="0.25">
      <c r="E10" s="7">
        <v>7</v>
      </c>
      <c r="F10" s="64" t="s">
        <v>117</v>
      </c>
      <c r="I10" s="1"/>
      <c r="T10" s="125"/>
    </row>
    <row r="11" spans="1:20" x14ac:dyDescent="0.25">
      <c r="E11" s="7">
        <v>8</v>
      </c>
      <c r="F11" s="64" t="s">
        <v>107</v>
      </c>
    </row>
    <row r="12" spans="1:20" x14ac:dyDescent="0.25">
      <c r="E12" s="7">
        <v>9</v>
      </c>
      <c r="F12" s="64" t="s">
        <v>108</v>
      </c>
    </row>
    <row r="13" spans="1:20" x14ac:dyDescent="0.25">
      <c r="F13" s="19"/>
      <c r="G13" s="6"/>
      <c r="H13" s="6"/>
      <c r="I13" s="6"/>
      <c r="J13" s="6"/>
      <c r="K13" s="6"/>
      <c r="L13" s="6"/>
      <c r="M13" s="6"/>
      <c r="N13" s="6"/>
      <c r="O13" s="6"/>
      <c r="Q13" s="6"/>
      <c r="R13" s="6"/>
      <c r="S13" s="6"/>
    </row>
    <row r="14" spans="1:20" x14ac:dyDescent="0.25">
      <c r="A14" s="22" t="s">
        <v>15</v>
      </c>
      <c r="B14" s="22"/>
      <c r="C14" s="22"/>
      <c r="E14" s="7">
        <v>1</v>
      </c>
      <c r="F14" s="8" t="s">
        <v>20</v>
      </c>
      <c r="G14" s="7" t="s">
        <v>20</v>
      </c>
      <c r="H14">
        <v>0</v>
      </c>
      <c r="I14" t="s">
        <v>20</v>
      </c>
      <c r="J14" t="s">
        <v>20</v>
      </c>
      <c r="K14">
        <v>0</v>
      </c>
      <c r="L14" s="6"/>
      <c r="M14" s="6">
        <v>1</v>
      </c>
      <c r="N14" s="6"/>
      <c r="O14" s="6"/>
      <c r="Q14" s="6"/>
      <c r="R14" s="6"/>
      <c r="S14" s="6"/>
    </row>
    <row r="15" spans="1:20" x14ac:dyDescent="0.25">
      <c r="A15" s="14" t="str">
        <f>'Beregn HF'!B10</f>
        <v xml:space="preserve"> </v>
      </c>
      <c r="B15" s="14" t="str">
        <f>'Beregn HF'!C10</f>
        <v xml:space="preserve"> </v>
      </c>
      <c r="C15" s="14">
        <f>'Beregn HF'!D10</f>
        <v>0</v>
      </c>
      <c r="E15" s="7">
        <v>2</v>
      </c>
      <c r="F15" s="2" t="s">
        <v>3</v>
      </c>
      <c r="G15" s="2" t="s">
        <v>6</v>
      </c>
      <c r="H15" s="2">
        <v>125</v>
      </c>
      <c r="I15" s="2" t="s">
        <v>17</v>
      </c>
      <c r="J15" s="2" t="s">
        <v>4</v>
      </c>
      <c r="K15" s="2">
        <v>75</v>
      </c>
      <c r="L15" s="175">
        <f>H15+K15</f>
        <v>200</v>
      </c>
      <c r="M15" s="175">
        <v>2</v>
      </c>
      <c r="N15" s="6"/>
      <c r="O15" s="6"/>
      <c r="Q15" s="6"/>
      <c r="R15" s="6"/>
      <c r="S15" s="6"/>
    </row>
    <row r="16" spans="1:20" x14ac:dyDescent="0.25">
      <c r="A16" s="14" t="str">
        <f>'Beregn HF'!B11</f>
        <v xml:space="preserve"> </v>
      </c>
      <c r="B16" s="14" t="str">
        <f>'Beregn HF'!C11</f>
        <v xml:space="preserve"> </v>
      </c>
      <c r="C16" s="14">
        <f>'Beregn HF'!D11</f>
        <v>0</v>
      </c>
      <c r="E16" s="7">
        <v>3</v>
      </c>
      <c r="F16" s="5" t="s">
        <v>3</v>
      </c>
      <c r="G16" s="5" t="s">
        <v>6</v>
      </c>
      <c r="H16" s="5">
        <v>125</v>
      </c>
      <c r="I16" s="5" t="s">
        <v>5</v>
      </c>
      <c r="J16" s="5" t="s">
        <v>6</v>
      </c>
      <c r="K16" s="5">
        <v>125</v>
      </c>
      <c r="L16" s="6">
        <f t="shared" ref="L16:L40" si="0">H16+K16</f>
        <v>250</v>
      </c>
      <c r="M16" s="6">
        <v>3</v>
      </c>
      <c r="N16" s="6"/>
      <c r="O16" s="6"/>
      <c r="Q16" s="6"/>
      <c r="R16" s="6"/>
      <c r="S16" s="6"/>
      <c r="T16" s="126"/>
    </row>
    <row r="17" spans="1:22" x14ac:dyDescent="0.25">
      <c r="A17" s="14"/>
      <c r="B17" s="14"/>
      <c r="C17" s="14"/>
      <c r="E17" s="7">
        <v>4</v>
      </c>
      <c r="F17" s="4" t="s">
        <v>3</v>
      </c>
      <c r="G17" s="4" t="s">
        <v>6</v>
      </c>
      <c r="H17" s="4">
        <v>125</v>
      </c>
      <c r="I17" s="4" t="s">
        <v>42</v>
      </c>
      <c r="J17" s="4" t="s">
        <v>6</v>
      </c>
      <c r="K17" s="4">
        <v>125</v>
      </c>
      <c r="L17" s="6">
        <f t="shared" si="0"/>
        <v>250</v>
      </c>
      <c r="M17" s="6">
        <v>4</v>
      </c>
      <c r="N17" s="6"/>
      <c r="O17" s="6"/>
      <c r="Q17" s="6"/>
      <c r="R17" s="6"/>
      <c r="S17" s="6"/>
      <c r="V17" s="126"/>
    </row>
    <row r="18" spans="1:22" x14ac:dyDescent="0.25">
      <c r="E18" s="7">
        <v>5</v>
      </c>
      <c r="F18" s="3" t="s">
        <v>42</v>
      </c>
      <c r="G18" s="3" t="s">
        <v>6</v>
      </c>
      <c r="H18" s="3">
        <v>125</v>
      </c>
      <c r="I18" s="3" t="s">
        <v>39</v>
      </c>
      <c r="J18" s="3" t="s">
        <v>6</v>
      </c>
      <c r="K18" s="3">
        <v>125</v>
      </c>
      <c r="L18" s="6">
        <f t="shared" si="0"/>
        <v>250</v>
      </c>
      <c r="M18" s="6">
        <v>5</v>
      </c>
      <c r="N18" s="6"/>
      <c r="O18" s="6"/>
      <c r="Q18" s="6"/>
      <c r="R18" s="6"/>
      <c r="S18" s="6"/>
    </row>
    <row r="19" spans="1:22" x14ac:dyDescent="0.25">
      <c r="E19" s="7">
        <v>6</v>
      </c>
      <c r="F19" s="2" t="s">
        <v>5</v>
      </c>
      <c r="G19" s="2" t="s">
        <v>6</v>
      </c>
      <c r="H19" s="2">
        <v>125</v>
      </c>
      <c r="I19" s="2" t="s">
        <v>17</v>
      </c>
      <c r="J19" s="2" t="s">
        <v>4</v>
      </c>
      <c r="K19" s="2">
        <v>75</v>
      </c>
      <c r="L19" s="175">
        <f t="shared" si="0"/>
        <v>200</v>
      </c>
      <c r="M19" s="175">
        <v>6</v>
      </c>
      <c r="N19" s="6"/>
      <c r="O19" s="6"/>
      <c r="Q19" s="6"/>
      <c r="R19" s="6"/>
      <c r="S19" s="6"/>
    </row>
    <row r="20" spans="1:22" x14ac:dyDescent="0.25">
      <c r="E20" s="7">
        <v>7</v>
      </c>
      <c r="F20" s="5" t="s">
        <v>5</v>
      </c>
      <c r="G20" s="5" t="s">
        <v>6</v>
      </c>
      <c r="H20" s="5">
        <v>125</v>
      </c>
      <c r="I20" s="5" t="s">
        <v>74</v>
      </c>
      <c r="J20" s="5" t="s">
        <v>4</v>
      </c>
      <c r="K20" s="5">
        <v>75</v>
      </c>
      <c r="L20" s="175">
        <f t="shared" si="0"/>
        <v>200</v>
      </c>
      <c r="M20" s="175">
        <v>7</v>
      </c>
      <c r="N20" s="6"/>
      <c r="O20" s="6"/>
      <c r="Q20" s="6"/>
      <c r="R20" s="6"/>
      <c r="S20" s="6"/>
    </row>
    <row r="21" spans="1:22" x14ac:dyDescent="0.25">
      <c r="E21" s="7">
        <v>8</v>
      </c>
      <c r="F21" s="4" t="s">
        <v>5</v>
      </c>
      <c r="G21" s="4" t="s">
        <v>6</v>
      </c>
      <c r="H21" s="4">
        <v>125</v>
      </c>
      <c r="I21" s="4" t="s">
        <v>16</v>
      </c>
      <c r="J21" s="4" t="s">
        <v>6</v>
      </c>
      <c r="K21" s="4">
        <v>125</v>
      </c>
      <c r="L21" s="6">
        <f t="shared" si="0"/>
        <v>250</v>
      </c>
      <c r="M21" s="6">
        <v>8</v>
      </c>
      <c r="N21" s="6"/>
      <c r="O21" s="6"/>
      <c r="Q21" s="6"/>
      <c r="R21" s="6"/>
      <c r="S21" s="6"/>
    </row>
    <row r="22" spans="1:22" x14ac:dyDescent="0.25">
      <c r="E22" s="7">
        <v>9</v>
      </c>
      <c r="F22" s="3" t="s">
        <v>49</v>
      </c>
      <c r="G22" s="3" t="s">
        <v>6</v>
      </c>
      <c r="H22" s="3">
        <v>125</v>
      </c>
      <c r="I22" s="3" t="s">
        <v>17</v>
      </c>
      <c r="J22" s="3" t="s">
        <v>4</v>
      </c>
      <c r="K22" s="3">
        <v>75</v>
      </c>
      <c r="L22" s="175">
        <f t="shared" si="0"/>
        <v>200</v>
      </c>
      <c r="M22" s="175">
        <v>9</v>
      </c>
      <c r="N22" s="6"/>
      <c r="O22" s="6"/>
      <c r="Q22" s="6"/>
      <c r="R22" s="6"/>
      <c r="S22" s="6"/>
    </row>
    <row r="23" spans="1:22" hidden="1" x14ac:dyDescent="0.25">
      <c r="E23" s="18"/>
      <c r="F23" s="6"/>
      <c r="G23" s="6"/>
      <c r="H23" s="6"/>
      <c r="I23" s="6"/>
      <c r="J23" s="6"/>
      <c r="K23" s="6"/>
      <c r="L23" s="6">
        <f t="shared" si="0"/>
        <v>0</v>
      </c>
      <c r="M23" s="6"/>
      <c r="N23" s="6"/>
      <c r="O23" s="6"/>
      <c r="Q23" s="6"/>
      <c r="R23" s="6"/>
      <c r="S23" s="6"/>
    </row>
    <row r="24" spans="1:22" hidden="1" x14ac:dyDescent="0.25">
      <c r="F24" s="6"/>
      <c r="G24" s="6"/>
      <c r="H24" s="6"/>
      <c r="I24" s="6"/>
      <c r="J24" s="6"/>
      <c r="K24" s="6"/>
      <c r="L24" s="6">
        <f t="shared" si="0"/>
        <v>0</v>
      </c>
      <c r="M24" s="6"/>
      <c r="N24" s="6"/>
      <c r="O24" s="6"/>
      <c r="Q24" s="6"/>
      <c r="R24" s="6"/>
      <c r="S24" s="6"/>
    </row>
    <row r="25" spans="1:22" ht="15" hidden="1" customHeight="1" x14ac:dyDescent="0.25">
      <c r="A25" s="22"/>
      <c r="B25" s="22"/>
      <c r="C25" s="22"/>
      <c r="H25" s="7"/>
      <c r="I25" s="6"/>
      <c r="J25" s="6"/>
      <c r="K25" s="6"/>
      <c r="L25" s="6">
        <f t="shared" si="0"/>
        <v>0</v>
      </c>
      <c r="M25" s="6"/>
      <c r="N25" s="6"/>
      <c r="O25" s="6"/>
      <c r="Q25" s="6"/>
      <c r="R25" s="6"/>
      <c r="S25" s="6"/>
    </row>
    <row r="26" spans="1:22" ht="15" hidden="1" customHeight="1" x14ac:dyDescent="0.25">
      <c r="A26" s="14"/>
      <c r="B26" s="14"/>
      <c r="C26" s="14"/>
      <c r="H26" s="7"/>
      <c r="I26" s="19"/>
      <c r="J26" s="6"/>
      <c r="K26" s="6"/>
      <c r="L26" s="6">
        <f t="shared" si="0"/>
        <v>0</v>
      </c>
      <c r="M26" s="6"/>
      <c r="N26" s="6"/>
      <c r="O26" s="6"/>
      <c r="Q26" s="6"/>
      <c r="R26" s="6"/>
      <c r="S26" s="6"/>
    </row>
    <row r="27" spans="1:22" ht="15" hidden="1" customHeight="1" x14ac:dyDescent="0.25">
      <c r="A27" s="23"/>
      <c r="B27" s="23"/>
      <c r="C27" s="23"/>
      <c r="D27" s="17"/>
      <c r="H27" s="7"/>
      <c r="I27" s="19"/>
      <c r="J27" s="6"/>
      <c r="K27" s="6"/>
      <c r="L27" s="6">
        <f t="shared" si="0"/>
        <v>0</v>
      </c>
      <c r="M27" s="6"/>
      <c r="N27" s="6"/>
      <c r="O27" s="6"/>
      <c r="Q27" s="6"/>
      <c r="R27" s="6"/>
      <c r="S27" s="6"/>
    </row>
    <row r="28" spans="1:22" ht="15" hidden="1" customHeight="1" x14ac:dyDescent="0.25">
      <c r="G28" s="6"/>
      <c r="H28" s="7"/>
      <c r="I28" s="19"/>
      <c r="J28" s="6"/>
      <c r="K28" s="6"/>
      <c r="L28" s="6">
        <f t="shared" si="0"/>
        <v>0</v>
      </c>
      <c r="M28" s="6"/>
      <c r="N28" s="6"/>
      <c r="O28" s="6"/>
      <c r="Q28" s="6"/>
      <c r="R28" s="6"/>
      <c r="S28" s="6"/>
      <c r="T28" s="6"/>
    </row>
    <row r="29" spans="1:22" ht="15" hidden="1" customHeight="1" x14ac:dyDescent="0.25">
      <c r="G29" s="6"/>
      <c r="H29" s="7"/>
      <c r="I29" s="19"/>
      <c r="J29" s="6"/>
      <c r="K29" s="6"/>
      <c r="L29" s="6">
        <f t="shared" si="0"/>
        <v>0</v>
      </c>
      <c r="M29" s="6"/>
      <c r="N29" s="6"/>
      <c r="O29" s="6"/>
      <c r="Q29" s="6"/>
      <c r="R29" s="6"/>
      <c r="S29" s="6"/>
    </row>
    <row r="30" spans="1:22" ht="15" hidden="1" customHeight="1" x14ac:dyDescent="0.25">
      <c r="G30" s="6"/>
      <c r="H30" s="7"/>
      <c r="I30" s="19"/>
      <c r="J30" s="6"/>
      <c r="K30" s="6"/>
      <c r="L30" s="6">
        <f t="shared" si="0"/>
        <v>0</v>
      </c>
      <c r="M30" s="6"/>
      <c r="N30" s="6"/>
      <c r="O30" s="6"/>
      <c r="Q30" s="6"/>
      <c r="R30" s="6"/>
      <c r="S30" s="6"/>
    </row>
    <row r="31" spans="1:22" ht="15" hidden="1" customHeight="1" x14ac:dyDescent="0.25">
      <c r="A31" s="22"/>
      <c r="B31" s="22"/>
      <c r="C31" s="22"/>
      <c r="H31" s="7"/>
      <c r="I31" s="6"/>
      <c r="J31" s="6"/>
      <c r="K31" s="6"/>
      <c r="L31" s="6">
        <f t="shared" si="0"/>
        <v>0</v>
      </c>
      <c r="M31" s="6"/>
      <c r="N31" s="6"/>
      <c r="O31" s="6"/>
    </row>
    <row r="32" spans="1:22" ht="15" hidden="1" customHeight="1" x14ac:dyDescent="0.25">
      <c r="A32" s="14"/>
      <c r="B32" s="14"/>
      <c r="C32" s="14"/>
      <c r="H32" s="7"/>
      <c r="I32" s="19"/>
      <c r="J32" s="6"/>
      <c r="K32" s="6"/>
      <c r="L32" s="6">
        <f t="shared" si="0"/>
        <v>0</v>
      </c>
      <c r="M32" s="6"/>
      <c r="N32" s="6"/>
      <c r="O32" s="6"/>
    </row>
    <row r="33" spans="1:15" ht="15" hidden="1" customHeight="1" x14ac:dyDescent="0.25">
      <c r="A33" s="23"/>
      <c r="B33" s="23"/>
      <c r="C33" s="23"/>
      <c r="D33" s="17"/>
      <c r="H33" s="7"/>
      <c r="I33" s="19"/>
      <c r="J33" s="6"/>
      <c r="K33" s="6"/>
      <c r="L33" s="6">
        <f t="shared" si="0"/>
        <v>0</v>
      </c>
      <c r="M33" s="6"/>
      <c r="N33" s="6"/>
      <c r="O33" s="6"/>
    </row>
    <row r="34" spans="1:15" ht="15" hidden="1" customHeight="1" x14ac:dyDescent="0.25">
      <c r="H34" s="7"/>
      <c r="I34" s="19"/>
      <c r="J34" s="6"/>
      <c r="K34" s="6"/>
      <c r="L34" s="6">
        <f t="shared" si="0"/>
        <v>0</v>
      </c>
      <c r="M34" s="6"/>
      <c r="N34" s="6"/>
      <c r="O34" s="6"/>
    </row>
    <row r="35" spans="1:15" ht="15" hidden="1" customHeight="1" x14ac:dyDescent="0.25">
      <c r="G35" s="6"/>
      <c r="H35" s="7"/>
      <c r="I35" s="19"/>
      <c r="J35" s="6"/>
      <c r="K35" s="6"/>
      <c r="L35" s="6">
        <f t="shared" si="0"/>
        <v>0</v>
      </c>
      <c r="M35" s="6"/>
      <c r="N35" s="6"/>
      <c r="O35" s="6"/>
    </row>
    <row r="36" spans="1:15" ht="15" hidden="1" customHeight="1" x14ac:dyDescent="0.25">
      <c r="A36" s="22"/>
      <c r="B36" s="22"/>
      <c r="C36" s="22"/>
      <c r="H36" s="7"/>
      <c r="I36" s="6"/>
      <c r="J36" s="6"/>
      <c r="K36" s="6"/>
      <c r="L36" s="6">
        <f t="shared" si="0"/>
        <v>0</v>
      </c>
      <c r="M36" s="6"/>
      <c r="N36" s="6"/>
      <c r="O36" s="6"/>
    </row>
    <row r="37" spans="1:15" ht="15" hidden="1" customHeight="1" x14ac:dyDescent="0.25">
      <c r="A37" s="14"/>
      <c r="B37" s="14"/>
      <c r="C37" s="14"/>
      <c r="H37" s="7"/>
      <c r="I37" s="19"/>
      <c r="J37" s="6"/>
      <c r="K37" s="6"/>
      <c r="L37" s="6">
        <f t="shared" si="0"/>
        <v>0</v>
      </c>
      <c r="M37" s="6"/>
      <c r="N37" s="6"/>
      <c r="O37" s="6"/>
    </row>
    <row r="38" spans="1:15" ht="15" hidden="1" customHeight="1" x14ac:dyDescent="0.25">
      <c r="A38" s="23"/>
      <c r="B38" s="23"/>
      <c r="C38" s="23"/>
      <c r="D38" s="17"/>
      <c r="H38" s="7"/>
      <c r="I38" s="19"/>
      <c r="J38" s="6"/>
      <c r="K38" s="6"/>
      <c r="L38" s="6">
        <f t="shared" si="0"/>
        <v>0</v>
      </c>
      <c r="M38" s="6"/>
      <c r="N38" s="6"/>
      <c r="O38" s="6"/>
    </row>
    <row r="39" spans="1:15" ht="15" hidden="1" customHeight="1" x14ac:dyDescent="0.25">
      <c r="H39" s="7"/>
      <c r="I39" s="19"/>
      <c r="J39" s="6"/>
      <c r="K39" s="6"/>
      <c r="L39" s="6">
        <f t="shared" si="0"/>
        <v>0</v>
      </c>
      <c r="M39" s="6"/>
      <c r="N39" s="6"/>
      <c r="O39" s="6"/>
    </row>
    <row r="40" spans="1:15" ht="15" hidden="1" customHeight="1" x14ac:dyDescent="0.25">
      <c r="H40" s="7"/>
      <c r="I40" s="19"/>
      <c r="J40" s="6"/>
      <c r="K40" s="6"/>
      <c r="L40" s="6">
        <f t="shared" si="0"/>
        <v>0</v>
      </c>
      <c r="M40" s="6"/>
      <c r="N40" s="6"/>
      <c r="O40" s="6"/>
    </row>
    <row r="41" spans="1:15" x14ac:dyDescent="0.25">
      <c r="G41" s="6"/>
      <c r="H41" s="7"/>
      <c r="I41" s="19"/>
      <c r="J41" s="6"/>
      <c r="K41" s="6"/>
      <c r="L41" s="6"/>
      <c r="M41" s="6"/>
      <c r="N41" s="6"/>
      <c r="O41" s="6"/>
    </row>
    <row r="42" spans="1:15" x14ac:dyDescent="0.25">
      <c r="A42" s="22" t="s">
        <v>53</v>
      </c>
      <c r="B42" s="22"/>
      <c r="C42" s="22"/>
      <c r="E42" s="7">
        <v>1</v>
      </c>
      <c r="F42" s="8" t="s">
        <v>11</v>
      </c>
      <c r="G42" s="7" t="str">
        <f>IF(F42="","","")</f>
        <v/>
      </c>
      <c r="H42" s="7">
        <f>IF(G42="",0,"")</f>
        <v>0</v>
      </c>
      <c r="I42" s="6"/>
      <c r="J42" s="6"/>
      <c r="K42" s="6"/>
      <c r="L42" s="6"/>
      <c r="M42" s="6"/>
      <c r="N42" s="6"/>
      <c r="O42" s="6"/>
    </row>
    <row r="43" spans="1:15" x14ac:dyDescent="0.25">
      <c r="A43" s="14">
        <f>'Beregn HF'!C15</f>
        <v>1</v>
      </c>
      <c r="B43" s="14"/>
      <c r="C43" s="14"/>
      <c r="E43" s="7">
        <v>2</v>
      </c>
      <c r="F43" s="8" t="str">
        <f>IF(OR($A$5=$E$17,$A$5=$E$18,$A$5=$E$21),"",I43)</f>
        <v>Billedkunst</v>
      </c>
      <c r="G43" s="7" t="str">
        <f>IF(F43="","","C")</f>
        <v>C</v>
      </c>
      <c r="H43" s="7">
        <f>IF(G43="",0,75)</f>
        <v>75</v>
      </c>
      <c r="I43" s="19" t="s">
        <v>79</v>
      </c>
      <c r="J43" s="6"/>
      <c r="K43" s="6"/>
      <c r="L43" s="6"/>
      <c r="M43" s="6"/>
      <c r="N43" s="6"/>
      <c r="O43" s="6"/>
    </row>
    <row r="44" spans="1:15" x14ac:dyDescent="0.25">
      <c r="A44" s="23" t="str">
        <f>VLOOKUP('Data HF'!A43,'Data HF'!E42:H47,2,)</f>
        <v>VÆLG</v>
      </c>
      <c r="B44" s="23" t="str">
        <f>'Beregn HF'!$C$17</f>
        <v/>
      </c>
      <c r="C44" s="23">
        <f>'Beregn HF'!$D$17</f>
        <v>0</v>
      </c>
      <c r="D44" s="17"/>
      <c r="E44" s="7">
        <v>3</v>
      </c>
      <c r="F44" s="8" t="str">
        <f>IF(OR($A$5=$E$17,$A$5=$E$18,$A$5=$E$21),"",I44)</f>
        <v>Drama</v>
      </c>
      <c r="G44" s="7" t="str">
        <f>IF(F44="","","C")</f>
        <v>C</v>
      </c>
      <c r="H44" s="7">
        <f>IF(G44="",0,75)</f>
        <v>75</v>
      </c>
      <c r="I44" s="19" t="s">
        <v>78</v>
      </c>
      <c r="J44" s="6"/>
      <c r="K44" s="6"/>
      <c r="L44" s="6"/>
      <c r="M44" s="6"/>
      <c r="N44" s="6"/>
      <c r="O44" s="6"/>
    </row>
    <row r="45" spans="1:15" x14ac:dyDescent="0.25">
      <c r="E45" s="7">
        <v>4</v>
      </c>
      <c r="F45" s="8" t="str">
        <f>IF(OR($A$5=$E$21,$A$5=$E$21),"",I45)</f>
        <v>Idræt</v>
      </c>
      <c r="G45" s="7" t="str">
        <f>IF(F45="","","C")</f>
        <v>C</v>
      </c>
      <c r="H45" s="7">
        <f>IF(G45="",0,75)</f>
        <v>75</v>
      </c>
      <c r="I45" s="19" t="s">
        <v>42</v>
      </c>
      <c r="J45" s="6"/>
      <c r="K45" s="6"/>
      <c r="L45" s="6"/>
      <c r="M45" s="6"/>
      <c r="N45" s="6"/>
      <c r="O45" s="6"/>
    </row>
    <row r="46" spans="1:15" x14ac:dyDescent="0.25">
      <c r="E46" s="7">
        <v>5</v>
      </c>
      <c r="F46" s="8" t="str">
        <f>IF(OR($A$5=$E$17,$A$5=$E$18),"",I46)</f>
        <v>Mediefag</v>
      </c>
      <c r="G46" s="7" t="str">
        <f>IF(F46="","","C")</f>
        <v>C</v>
      </c>
      <c r="H46" s="7">
        <f>IF(G46="",0,75)</f>
        <v>75</v>
      </c>
      <c r="I46" s="19" t="s">
        <v>16</v>
      </c>
      <c r="J46" s="6"/>
      <c r="K46" s="6"/>
      <c r="L46" s="6"/>
      <c r="M46" s="6"/>
      <c r="N46" s="6"/>
      <c r="O46" s="6"/>
    </row>
    <row r="47" spans="1:15" x14ac:dyDescent="0.25">
      <c r="E47" s="7">
        <v>6</v>
      </c>
      <c r="F47" s="8" t="str">
        <f>IF(OR($A$5=$E$17,$A$5=$E$18,$A$5=$E$21),"",I47)</f>
        <v>Musik</v>
      </c>
      <c r="G47" s="7" t="str">
        <f>IF(F47="","","C")</f>
        <v>C</v>
      </c>
      <c r="H47" s="7">
        <f>IF(G47="",0,75)</f>
        <v>75</v>
      </c>
      <c r="I47" s="19" t="s">
        <v>54</v>
      </c>
      <c r="J47" s="6"/>
      <c r="K47" s="6"/>
      <c r="L47" s="6"/>
      <c r="M47" s="6"/>
      <c r="N47" s="6"/>
      <c r="O47" s="6"/>
    </row>
    <row r="48" spans="1:15" x14ac:dyDescent="0.25">
      <c r="F48" s="17"/>
      <c r="G48" s="18"/>
      <c r="H48" s="6"/>
      <c r="I48" s="6"/>
      <c r="J48" s="6"/>
      <c r="K48" s="6"/>
      <c r="L48" s="6"/>
      <c r="M48" s="6"/>
      <c r="N48" s="6"/>
      <c r="O48" s="6"/>
    </row>
    <row r="49" spans="1:15" x14ac:dyDescent="0.25">
      <c r="A49" s="22" t="s">
        <v>18</v>
      </c>
      <c r="B49" s="22"/>
      <c r="C49" s="22"/>
      <c r="E49" s="7">
        <v>1</v>
      </c>
      <c r="F49" s="1" t="s">
        <v>11</v>
      </c>
      <c r="G49" s="7" t="str">
        <f>IF(F49="","","")</f>
        <v/>
      </c>
      <c r="H49" s="7">
        <f>IF(G49="",0,"")</f>
        <v>0</v>
      </c>
    </row>
    <row r="50" spans="1:15" ht="15" customHeight="1" x14ac:dyDescent="0.25">
      <c r="A50" s="14">
        <f>'Beregn HF'!K10</f>
        <v>1</v>
      </c>
      <c r="B50" s="14"/>
      <c r="C50" s="14"/>
      <c r="E50" s="7">
        <v>2</v>
      </c>
      <c r="F50" s="265" t="str">
        <f>IF(OR($A$5=2,$A$5=6,$A$5=7,$A$5=9),"",I50)</f>
        <v>Astronomi</v>
      </c>
      <c r="G50" s="7" t="str">
        <f t="shared" ref="G50:G59" si="1">IF(F50="","","C")</f>
        <v>C</v>
      </c>
      <c r="H50" s="7">
        <f t="shared" ref="H50:H59" si="2">IF(G50="",0,75)</f>
        <v>75</v>
      </c>
      <c r="I50" s="19" t="s">
        <v>72</v>
      </c>
      <c r="J50" s="19"/>
    </row>
    <row r="51" spans="1:15" ht="15" customHeight="1" x14ac:dyDescent="0.25">
      <c r="A51" s="23" t="str">
        <f>VLOOKUP(A50,E49:H62,2,)</f>
        <v>VÆLG</v>
      </c>
      <c r="B51" s="23" t="str">
        <f>'Beregn HF'!K11</f>
        <v/>
      </c>
      <c r="C51" s="23">
        <f>'Beregn HF'!L11</f>
        <v>0</v>
      </c>
      <c r="D51" s="17"/>
      <c r="E51" s="7">
        <v>3</v>
      </c>
      <c r="F51" s="27" t="str">
        <f>IF(OR(A$15=I51,$A$16=I51,$A$44=I51,$A$5=2,$A$5=6,$A$5=7,$A$5=9),"",I51)</f>
        <v>Billedkunst</v>
      </c>
      <c r="G51" s="7" t="str">
        <f t="shared" si="1"/>
        <v>C</v>
      </c>
      <c r="H51" s="7">
        <f t="shared" si="2"/>
        <v>75</v>
      </c>
      <c r="I51" s="19" t="s">
        <v>79</v>
      </c>
      <c r="J51" s="19"/>
    </row>
    <row r="52" spans="1:15" ht="15" customHeight="1" x14ac:dyDescent="0.25">
      <c r="E52" s="7">
        <v>4</v>
      </c>
      <c r="F52" s="27" t="str">
        <f>IF(OR(A$15=I52,$A$16=I52,$A$44=I52,$A$5=2,$A$5=6,$A$5=7,$A$5=9),"",I52)</f>
        <v>Drama</v>
      </c>
      <c r="G52" s="7" t="str">
        <f t="shared" si="1"/>
        <v>C</v>
      </c>
      <c r="H52" s="7">
        <f t="shared" si="2"/>
        <v>75</v>
      </c>
      <c r="I52" s="19" t="s">
        <v>78</v>
      </c>
      <c r="J52" s="19"/>
      <c r="K52" s="6"/>
    </row>
    <row r="53" spans="1:15" x14ac:dyDescent="0.25">
      <c r="E53" s="7">
        <v>5</v>
      </c>
      <c r="F53" s="27" t="str">
        <f>IF(OR(A$15=I53,$A$16=I53,$A$44=I53,$A$5=2,$A$5=6,$A$5=7,$A$5=9),"",I53)</f>
        <v>Erhvervsøkonomi</v>
      </c>
      <c r="G53" s="7" t="str">
        <f t="shared" si="1"/>
        <v>C</v>
      </c>
      <c r="H53" s="7">
        <f t="shared" si="2"/>
        <v>75</v>
      </c>
      <c r="I53" s="19" t="s">
        <v>74</v>
      </c>
      <c r="J53" s="19"/>
      <c r="K53" s="10"/>
      <c r="N53" s="12"/>
      <c r="O53" s="12"/>
    </row>
    <row r="54" spans="1:15" x14ac:dyDescent="0.25">
      <c r="E54" s="7">
        <v>6</v>
      </c>
      <c r="F54" s="265" t="str">
        <f>IF(OR($A$5=2,$A$5=6,$A$5=7,$A$5=9),"",I54)</f>
        <v>Filosofi</v>
      </c>
      <c r="G54" s="7" t="str">
        <f t="shared" si="1"/>
        <v>C</v>
      </c>
      <c r="H54" s="7">
        <f t="shared" si="2"/>
        <v>75</v>
      </c>
      <c r="I54" s="19" t="s">
        <v>62</v>
      </c>
      <c r="J54" s="19"/>
      <c r="K54" s="10"/>
      <c r="N54" s="12"/>
      <c r="O54" s="12"/>
    </row>
    <row r="55" spans="1:15" x14ac:dyDescent="0.25">
      <c r="E55" s="7">
        <v>7</v>
      </c>
      <c r="F55" s="265" t="str">
        <f>IF(OR($A$5=2,$A$5=6,$A$5=7,$A$5=9),"",I55)</f>
        <v>Fysik</v>
      </c>
      <c r="G55" s="7" t="str">
        <f t="shared" si="1"/>
        <v>C</v>
      </c>
      <c r="H55" s="7">
        <f t="shared" si="2"/>
        <v>75</v>
      </c>
      <c r="I55" s="19" t="s">
        <v>36</v>
      </c>
      <c r="J55" s="19"/>
      <c r="K55" s="10"/>
      <c r="N55" s="12"/>
      <c r="O55" s="12"/>
    </row>
    <row r="56" spans="1:15" x14ac:dyDescent="0.25">
      <c r="E56" s="7">
        <v>8</v>
      </c>
      <c r="F56" s="27" t="str">
        <f>IF(OR(A$15=I56,$A$16=I56,$A$44=I56,$A$5=2,$A$5=6,$A$5=7,$A$5=9),"",I56)</f>
        <v>Idræt</v>
      </c>
      <c r="G56" s="7" t="str">
        <f t="shared" si="1"/>
        <v>C</v>
      </c>
      <c r="H56" s="7">
        <f t="shared" si="2"/>
        <v>75</v>
      </c>
      <c r="I56" s="19" t="s">
        <v>42</v>
      </c>
      <c r="J56" s="19"/>
      <c r="K56" s="10"/>
      <c r="N56" s="12"/>
      <c r="O56" s="12"/>
    </row>
    <row r="57" spans="1:15" x14ac:dyDescent="0.25">
      <c r="E57" s="7">
        <v>9</v>
      </c>
      <c r="F57" s="265" t="str">
        <f>IF(OR($A$5=2,$A$5=6,$A$5=7,$A$5=9),"",I57)</f>
        <v>Informatik</v>
      </c>
      <c r="G57" s="7" t="str">
        <f t="shared" si="1"/>
        <v>C</v>
      </c>
      <c r="H57" s="7">
        <f t="shared" si="2"/>
        <v>75</v>
      </c>
      <c r="I57" s="19" t="s">
        <v>59</v>
      </c>
      <c r="J57" s="19"/>
      <c r="K57" s="10"/>
      <c r="N57" s="12"/>
      <c r="O57" s="12"/>
    </row>
    <row r="58" spans="1:15" x14ac:dyDescent="0.25">
      <c r="E58" s="7">
        <v>10</v>
      </c>
      <c r="F58" s="265" t="str">
        <f>IF(OR($A$5=2,$A$5=6,$A$5=7,$A$5=9),"",I58)</f>
        <v>Latin</v>
      </c>
      <c r="G58" s="7" t="str">
        <f t="shared" si="1"/>
        <v>C</v>
      </c>
      <c r="H58" s="7">
        <f t="shared" si="2"/>
        <v>75</v>
      </c>
      <c r="I58" s="19" t="s">
        <v>81</v>
      </c>
      <c r="J58" s="19"/>
      <c r="K58" s="10"/>
      <c r="N58" s="12"/>
      <c r="O58" s="12"/>
    </row>
    <row r="59" spans="1:15" x14ac:dyDescent="0.25">
      <c r="E59" s="7">
        <v>11</v>
      </c>
      <c r="F59" s="27" t="str">
        <f>IF(OR(A$15=I59,$A$16=I59,$A$44=I59,$A$5=2,$A$5=6,$A$5=7,$A$5=9),"",I59)</f>
        <v>Mediefag</v>
      </c>
      <c r="G59" s="7" t="str">
        <f t="shared" si="1"/>
        <v>C</v>
      </c>
      <c r="H59" s="7">
        <f t="shared" si="2"/>
        <v>75</v>
      </c>
      <c r="I59" s="19" t="s">
        <v>16</v>
      </c>
      <c r="J59" s="19"/>
      <c r="K59" s="10"/>
      <c r="N59" s="12"/>
      <c r="O59" s="12"/>
    </row>
    <row r="60" spans="1:15" x14ac:dyDescent="0.25">
      <c r="E60" s="7">
        <v>12</v>
      </c>
      <c r="F60" s="27" t="str">
        <f>IF(OR(A$15=I60,$A$16=I60,$A$44=I60,$A$5=2,$A$5=6,$A$5=7,$A$5=9),"",I60)</f>
        <v>Musik</v>
      </c>
      <c r="G60" s="7" t="str">
        <f>IF(F60="","","C")</f>
        <v>C</v>
      </c>
      <c r="H60" s="7">
        <f>IF(G60="",0,75)</f>
        <v>75</v>
      </c>
      <c r="I60" s="19" t="s">
        <v>54</v>
      </c>
      <c r="J60" s="19"/>
      <c r="K60" s="10"/>
      <c r="N60" s="12"/>
      <c r="O60" s="12"/>
    </row>
    <row r="61" spans="1:15" x14ac:dyDescent="0.25">
      <c r="E61" s="7">
        <v>13</v>
      </c>
      <c r="F61" s="17" t="str">
        <f>IF(OR(A$15=I61,$A$16=I61,A5=7),"",I61)</f>
        <v>Psykologi</v>
      </c>
      <c r="G61" s="7" t="str">
        <f>IF(F61="","","C")</f>
        <v>C</v>
      </c>
      <c r="H61" s="7">
        <f>IF(G61="",0,75)</f>
        <v>75</v>
      </c>
      <c r="I61" s="19" t="s">
        <v>17</v>
      </c>
      <c r="J61" s="19"/>
      <c r="K61" s="10"/>
      <c r="N61" s="12"/>
      <c r="O61" s="12"/>
    </row>
    <row r="62" spans="1:15" x14ac:dyDescent="0.25">
      <c r="E62" s="7">
        <v>14</v>
      </c>
      <c r="F62" s="265" t="str">
        <f>IF(OR($A$5=2,$A$5=6,$A$5=7,$A$5=9),"",I62)</f>
        <v>Statistik</v>
      </c>
      <c r="G62" s="7" t="str">
        <f>IF(F62="","","C")</f>
        <v>C</v>
      </c>
      <c r="H62" s="7">
        <f>IF(G62="",0,75)</f>
        <v>75</v>
      </c>
      <c r="I62" s="19" t="s">
        <v>82</v>
      </c>
      <c r="J62" s="19"/>
      <c r="K62" s="10"/>
      <c r="N62" s="12"/>
      <c r="O62" s="12"/>
    </row>
    <row r="63" spans="1:15" x14ac:dyDescent="0.25">
      <c r="F63" s="17"/>
      <c r="H63" s="7"/>
      <c r="I63" s="19"/>
      <c r="J63" s="19"/>
      <c r="K63" s="10"/>
      <c r="N63" s="12"/>
      <c r="O63" s="12"/>
    </row>
    <row r="64" spans="1:15" x14ac:dyDescent="0.25">
      <c r="F64" s="17"/>
      <c r="H64" s="7"/>
      <c r="I64" s="19"/>
      <c r="J64" s="19"/>
      <c r="K64" s="10"/>
      <c r="N64" s="12"/>
      <c r="O64" s="12"/>
    </row>
    <row r="65" spans="1:15" x14ac:dyDescent="0.25">
      <c r="A65" s="22" t="s">
        <v>19</v>
      </c>
      <c r="B65" s="22"/>
      <c r="C65" s="22"/>
      <c r="E65" s="7">
        <v>1</v>
      </c>
      <c r="F65" s="1" t="s">
        <v>11</v>
      </c>
      <c r="G65" s="7" t="str">
        <f>IF(F65="","","")</f>
        <v/>
      </c>
      <c r="H65" s="7"/>
      <c r="K65" s="10"/>
      <c r="M65" s="12"/>
      <c r="N65" s="12"/>
      <c r="O65" s="12"/>
    </row>
    <row r="66" spans="1:15" x14ac:dyDescent="0.25">
      <c r="A66" s="14" t="e">
        <f>'Beregn HF'!#REF!</f>
        <v>#REF!</v>
      </c>
      <c r="B66" s="14"/>
      <c r="C66" s="14"/>
      <c r="E66" s="7">
        <v>2</v>
      </c>
      <c r="F66" s="27" t="str">
        <f>IF(OR(A$15=I66,$A$16=I66,$A$44=I66,$A$51=I66),"",I66)</f>
        <v>Astronomi</v>
      </c>
      <c r="G66" s="7" t="str">
        <f t="shared" ref="G66:G75" si="3">IF(F66="","","C")</f>
        <v>C</v>
      </c>
      <c r="H66" s="7">
        <f t="shared" ref="H66:H75" si="4">IF(G66="",0,75)</f>
        <v>75</v>
      </c>
      <c r="I66" s="19" t="s">
        <v>72</v>
      </c>
      <c r="J66" s="19"/>
      <c r="K66" s="10"/>
      <c r="M66" s="12"/>
      <c r="N66" s="12"/>
      <c r="O66" s="12"/>
    </row>
    <row r="67" spans="1:15" x14ac:dyDescent="0.25">
      <c r="A67" s="23" t="e">
        <f>VLOOKUP('Data HF'!A66,'Data HF'!E65:H78,2,)</f>
        <v>#REF!</v>
      </c>
      <c r="B67" s="23" t="e">
        <f>'Beregn HF'!#REF!</f>
        <v>#REF!</v>
      </c>
      <c r="C67" s="23" t="e">
        <f>'Beregn HF'!#REF!</f>
        <v>#REF!</v>
      </c>
      <c r="D67" s="17"/>
      <c r="E67" s="7">
        <v>3</v>
      </c>
      <c r="F67" s="27" t="str">
        <f t="shared" ref="F67:F78" si="5">IF(OR(A$15=I67,$A$16=I67,$A$44=I67,$A$51=I67),"",I67)</f>
        <v>Billedkunst</v>
      </c>
      <c r="G67" s="7" t="str">
        <f t="shared" si="3"/>
        <v>C</v>
      </c>
      <c r="H67" s="7">
        <f t="shared" si="4"/>
        <v>75</v>
      </c>
      <c r="I67" s="19" t="s">
        <v>79</v>
      </c>
      <c r="J67" s="19"/>
      <c r="K67" s="10"/>
      <c r="M67" s="12"/>
      <c r="N67" s="12"/>
      <c r="O67" s="12"/>
    </row>
    <row r="68" spans="1:15" x14ac:dyDescent="0.25">
      <c r="E68" s="7">
        <v>4</v>
      </c>
      <c r="F68" s="27" t="str">
        <f t="shared" si="5"/>
        <v>Drama</v>
      </c>
      <c r="G68" s="7" t="str">
        <f t="shared" si="3"/>
        <v>C</v>
      </c>
      <c r="H68" s="7">
        <f t="shared" si="4"/>
        <v>75</v>
      </c>
      <c r="I68" s="19" t="s">
        <v>78</v>
      </c>
      <c r="J68" s="19"/>
      <c r="K68" s="10"/>
      <c r="M68" s="12"/>
      <c r="N68" s="12"/>
      <c r="O68" s="12"/>
    </row>
    <row r="69" spans="1:15" hidden="1" x14ac:dyDescent="0.25">
      <c r="E69" s="7">
        <v>5</v>
      </c>
      <c r="F69" s="27" t="str">
        <f t="shared" si="5"/>
        <v>Erhvervsøkonomi</v>
      </c>
      <c r="G69" s="7" t="str">
        <f t="shared" si="3"/>
        <v>C</v>
      </c>
      <c r="H69" s="7">
        <f t="shared" si="4"/>
        <v>75</v>
      </c>
      <c r="I69" s="19" t="s">
        <v>74</v>
      </c>
      <c r="J69" s="19"/>
      <c r="K69" s="10"/>
      <c r="M69" s="12"/>
      <c r="N69" s="12"/>
      <c r="O69" s="12"/>
    </row>
    <row r="70" spans="1:15" hidden="1" x14ac:dyDescent="0.25">
      <c r="E70" s="7">
        <v>6</v>
      </c>
      <c r="F70" s="27" t="str">
        <f t="shared" si="5"/>
        <v>Filosofi</v>
      </c>
      <c r="G70" s="7" t="str">
        <f t="shared" si="3"/>
        <v>C</v>
      </c>
      <c r="H70" s="7">
        <f t="shared" si="4"/>
        <v>75</v>
      </c>
      <c r="I70" s="19" t="s">
        <v>62</v>
      </c>
      <c r="J70" s="19"/>
      <c r="K70" s="10"/>
      <c r="M70" s="12"/>
      <c r="N70" s="12"/>
      <c r="O70" s="12"/>
    </row>
    <row r="71" spans="1:15" hidden="1" x14ac:dyDescent="0.25">
      <c r="E71" s="7">
        <v>7</v>
      </c>
      <c r="F71" s="27" t="str">
        <f t="shared" si="5"/>
        <v>Fysik</v>
      </c>
      <c r="G71" s="7" t="str">
        <f t="shared" si="3"/>
        <v>C</v>
      </c>
      <c r="H71" s="7">
        <f t="shared" si="4"/>
        <v>75</v>
      </c>
      <c r="I71" s="19" t="s">
        <v>36</v>
      </c>
      <c r="J71" s="19"/>
      <c r="K71" s="10"/>
      <c r="M71" s="12"/>
      <c r="N71" s="12"/>
      <c r="O71" s="12"/>
    </row>
    <row r="72" spans="1:15" hidden="1" x14ac:dyDescent="0.25">
      <c r="E72" s="7">
        <v>8</v>
      </c>
      <c r="F72" s="27" t="str">
        <f t="shared" si="5"/>
        <v>Idræt</v>
      </c>
      <c r="G72" s="7" t="str">
        <f t="shared" si="3"/>
        <v>C</v>
      </c>
      <c r="H72" s="7">
        <f t="shared" si="4"/>
        <v>75</v>
      </c>
      <c r="I72" s="19" t="s">
        <v>42</v>
      </c>
      <c r="J72" s="19"/>
      <c r="K72" s="10"/>
      <c r="M72" s="12"/>
      <c r="N72" s="12"/>
      <c r="O72" s="12"/>
    </row>
    <row r="73" spans="1:15" hidden="1" x14ac:dyDescent="0.25">
      <c r="E73" s="7">
        <v>9</v>
      </c>
      <c r="F73" s="27" t="str">
        <f t="shared" si="5"/>
        <v>Informatik</v>
      </c>
      <c r="G73" s="7" t="str">
        <f t="shared" si="3"/>
        <v>C</v>
      </c>
      <c r="H73" s="7">
        <f t="shared" si="4"/>
        <v>75</v>
      </c>
      <c r="I73" s="19" t="str">
        <f>I57</f>
        <v>Informatik</v>
      </c>
      <c r="J73" s="19"/>
      <c r="K73" s="10"/>
      <c r="M73" s="12"/>
      <c r="N73" s="12"/>
      <c r="O73" s="12"/>
    </row>
    <row r="74" spans="1:15" hidden="1" x14ac:dyDescent="0.25">
      <c r="E74" s="7">
        <v>10</v>
      </c>
      <c r="F74" s="27" t="str">
        <f t="shared" si="5"/>
        <v>Latin</v>
      </c>
      <c r="G74" s="7" t="str">
        <f t="shared" si="3"/>
        <v>C</v>
      </c>
      <c r="H74" s="7">
        <f t="shared" si="4"/>
        <v>75</v>
      </c>
      <c r="I74" s="19" t="s">
        <v>81</v>
      </c>
      <c r="J74" s="19"/>
      <c r="K74" s="12"/>
      <c r="M74" s="12"/>
      <c r="N74" s="12"/>
      <c r="O74" s="12"/>
    </row>
    <row r="75" spans="1:15" hidden="1" x14ac:dyDescent="0.25">
      <c r="E75" s="7">
        <v>11</v>
      </c>
      <c r="F75" s="27" t="str">
        <f t="shared" si="5"/>
        <v>Mediefag</v>
      </c>
      <c r="G75" s="7" t="str">
        <f t="shared" si="3"/>
        <v>C</v>
      </c>
      <c r="H75" s="7">
        <f t="shared" si="4"/>
        <v>75</v>
      </c>
      <c r="I75" s="19" t="s">
        <v>16</v>
      </c>
      <c r="J75" s="19"/>
      <c r="K75" s="12"/>
      <c r="M75" s="12"/>
      <c r="N75" s="12"/>
      <c r="O75" s="12"/>
    </row>
    <row r="76" spans="1:15" hidden="1" x14ac:dyDescent="0.25">
      <c r="E76" s="7">
        <v>12</v>
      </c>
      <c r="F76" s="27" t="str">
        <f t="shared" si="5"/>
        <v>Musik</v>
      </c>
      <c r="G76" s="7" t="str">
        <f>IF(F76="","","C")</f>
        <v>C</v>
      </c>
      <c r="H76" s="7">
        <f>IF(G76="",0,75)</f>
        <v>75</v>
      </c>
      <c r="I76" s="19" t="s">
        <v>54</v>
      </c>
      <c r="J76" s="19"/>
      <c r="K76" s="12"/>
      <c r="M76" s="12"/>
      <c r="N76" s="12"/>
      <c r="O76" s="12"/>
    </row>
    <row r="77" spans="1:15" hidden="1" x14ac:dyDescent="0.25">
      <c r="E77" s="7">
        <v>13</v>
      </c>
      <c r="F77" s="27" t="str">
        <f t="shared" si="5"/>
        <v>Psykologi</v>
      </c>
      <c r="G77" s="7" t="str">
        <f>IF(F77="","","C")</f>
        <v>C</v>
      </c>
      <c r="H77" s="7">
        <f>IF(G77="",0,75)</f>
        <v>75</v>
      </c>
      <c r="I77" s="19" t="s">
        <v>17</v>
      </c>
      <c r="J77" s="19"/>
      <c r="K77" s="12"/>
      <c r="M77" s="12"/>
      <c r="N77" s="12"/>
      <c r="O77" s="12"/>
    </row>
    <row r="78" spans="1:15" hidden="1" x14ac:dyDescent="0.25">
      <c r="E78" s="7">
        <v>14</v>
      </c>
      <c r="F78" s="27" t="str">
        <f t="shared" si="5"/>
        <v>Statistik</v>
      </c>
      <c r="G78" s="7" t="str">
        <f>IF(F78="","","C")</f>
        <v>C</v>
      </c>
      <c r="H78" s="7">
        <f>IF(G78="",0,75)</f>
        <v>75</v>
      </c>
      <c r="I78" s="19" t="s">
        <v>82</v>
      </c>
      <c r="J78" s="19"/>
      <c r="K78" s="12"/>
      <c r="M78" s="12"/>
      <c r="N78" s="12"/>
      <c r="O78" s="12"/>
    </row>
    <row r="79" spans="1:15" x14ac:dyDescent="0.25">
      <c r="H79" s="7"/>
      <c r="I79" s="19"/>
      <c r="K79" s="12"/>
      <c r="L79" s="19"/>
      <c r="M79" s="12"/>
      <c r="N79" s="12"/>
      <c r="O79" s="12"/>
    </row>
    <row r="80" spans="1:15" x14ac:dyDescent="0.25">
      <c r="H80" s="7"/>
      <c r="I80" s="19"/>
      <c r="K80" s="12"/>
      <c r="L80" s="12"/>
      <c r="M80" s="12"/>
      <c r="N80" s="12"/>
      <c r="O80" s="12"/>
    </row>
    <row r="81" spans="1:22" x14ac:dyDescent="0.25">
      <c r="H81" s="7"/>
      <c r="I81" s="13"/>
      <c r="K81" s="12"/>
      <c r="L81" s="12"/>
      <c r="M81" s="12"/>
      <c r="N81" s="12"/>
      <c r="O81" s="12"/>
    </row>
    <row r="82" spans="1:22" x14ac:dyDescent="0.25">
      <c r="E82" s="7">
        <v>1</v>
      </c>
      <c r="F82" s="1" t="s">
        <v>11</v>
      </c>
      <c r="G82" s="7" t="str">
        <f>IF(F82="","","")</f>
        <v/>
      </c>
      <c r="H82" s="7">
        <f>IF(G82="",0,"")</f>
        <v>0</v>
      </c>
      <c r="I82" s="1"/>
      <c r="L82" s="6"/>
    </row>
    <row r="83" spans="1:22" x14ac:dyDescent="0.25">
      <c r="A83" s="22" t="s">
        <v>75</v>
      </c>
      <c r="B83" s="22"/>
      <c r="C83" s="21"/>
      <c r="E83" s="7">
        <v>2</v>
      </c>
      <c r="F83" s="182" t="str">
        <f>IF(OR($A$44=I83,$A$51=I83),I83,"")</f>
        <v/>
      </c>
      <c r="G83" s="7" t="str">
        <f>IF(F83="","","B")</f>
        <v/>
      </c>
      <c r="H83" s="7">
        <f>IF(G83="",0,125)</f>
        <v>0</v>
      </c>
      <c r="I83" s="178" t="str">
        <f>I43</f>
        <v>Billedkunst</v>
      </c>
      <c r="J83" s="177"/>
    </row>
    <row r="84" spans="1:22" x14ac:dyDescent="0.25">
      <c r="A84" s="14">
        <f>'Beregn HF'!K16</f>
        <v>1</v>
      </c>
      <c r="B84" s="14"/>
      <c r="C84" s="14"/>
      <c r="E84" s="7">
        <v>3</v>
      </c>
      <c r="F84" s="17" t="str">
        <f>IF(OR($A$5=$E$18),"",I84)</f>
        <v>Biologi</v>
      </c>
      <c r="G84" s="7" t="str">
        <f>IF(F84="","","B")</f>
        <v>B</v>
      </c>
      <c r="H84" s="7">
        <f>IF(G84="",0,125)</f>
        <v>125</v>
      </c>
      <c r="I84" s="178" t="s">
        <v>39</v>
      </c>
      <c r="J84" s="177"/>
    </row>
    <row r="85" spans="1:22" x14ac:dyDescent="0.25">
      <c r="A85" s="23" t="str">
        <f>VLOOKUP('Data HF'!A84,'Data HF'!E82:H98,2,)</f>
        <v>VÆLG</v>
      </c>
      <c r="B85" s="23" t="str">
        <f>'Beregn HF'!K17</f>
        <v/>
      </c>
      <c r="C85" s="23">
        <f>'Beregn stx'!L22</f>
        <v>0</v>
      </c>
      <c r="D85" s="17"/>
      <c r="E85" s="7">
        <v>4</v>
      </c>
      <c r="F85" s="182" t="str">
        <f>IF(OR($A$44=I44,$A$51=I44),I85,"")</f>
        <v/>
      </c>
      <c r="G85" s="113" t="str">
        <f>IF(F85="","","B")</f>
        <v/>
      </c>
      <c r="H85" s="7">
        <f>IF(G85="",0,125)</f>
        <v>0</v>
      </c>
      <c r="I85" s="178" t="str">
        <f>I44</f>
        <v>Drama</v>
      </c>
      <c r="J85" s="177"/>
      <c r="K85" s="6"/>
      <c r="M85" s="6"/>
      <c r="N85" s="6"/>
      <c r="O85" s="6"/>
      <c r="P85" s="6"/>
      <c r="Q85" s="6"/>
      <c r="R85" s="6"/>
      <c r="S85" s="6"/>
      <c r="T85" s="6"/>
      <c r="U85" s="6"/>
      <c r="V85" s="6"/>
    </row>
    <row r="86" spans="1:22" x14ac:dyDescent="0.25">
      <c r="A86" s="23"/>
      <c r="B86" s="23"/>
      <c r="C86" s="23"/>
      <c r="D86" s="17"/>
      <c r="E86" s="7">
        <v>5</v>
      </c>
      <c r="F86" s="17" t="str">
        <f>IF(OR($A$5=$E$17,A5=E18),"",IF(OR($A$44=I86,$A$51=I86),I86,""))</f>
        <v/>
      </c>
      <c r="G86" s="7" t="str">
        <f>IF(F86="","","B")</f>
        <v/>
      </c>
      <c r="H86" s="7">
        <f>IF(G86="",0,125)</f>
        <v>0</v>
      </c>
      <c r="I86" s="179" t="s">
        <v>42</v>
      </c>
      <c r="J86" s="177"/>
    </row>
    <row r="87" spans="1:22" x14ac:dyDescent="0.25">
      <c r="D87" s="17"/>
      <c r="E87" s="7">
        <v>6</v>
      </c>
      <c r="F87" s="181" t="str">
        <f>I87</f>
        <v>Kemi</v>
      </c>
      <c r="G87" s="7" t="str">
        <f>IF(F87="","","B")</f>
        <v>B</v>
      </c>
      <c r="H87" s="7">
        <f t="shared" ref="H87:H94" si="6">IF(G87="",0,125)</f>
        <v>125</v>
      </c>
      <c r="I87" s="179" t="s">
        <v>38</v>
      </c>
      <c r="J87" s="177"/>
    </row>
    <row r="88" spans="1:22" x14ac:dyDescent="0.25">
      <c r="D88" s="17"/>
      <c r="E88" s="7">
        <v>7</v>
      </c>
      <c r="F88" s="17" t="str">
        <f>IF(OR($A$5=$E$15,$A$5=$E$16,$A$5=$E$17),"",I88)</f>
        <v>Matematik</v>
      </c>
      <c r="G88" s="7" t="str">
        <f t="shared" ref="G88:G94" si="7">IF(F88="","","B")</f>
        <v>B</v>
      </c>
      <c r="H88" s="7">
        <f t="shared" si="6"/>
        <v>125</v>
      </c>
      <c r="I88" s="177" t="s">
        <v>3</v>
      </c>
      <c r="J88" s="177"/>
    </row>
    <row r="89" spans="1:22" x14ac:dyDescent="0.25">
      <c r="A89" s="48"/>
      <c r="B89" s="48"/>
      <c r="C89" s="48"/>
      <c r="D89" s="17"/>
      <c r="E89" s="7">
        <v>8</v>
      </c>
      <c r="F89" s="17" t="str">
        <f>IF(A5=E21,"",IF(OR($A$44=I89,$A$51=I89),I89,""))</f>
        <v/>
      </c>
      <c r="G89" s="7" t="str">
        <f t="shared" si="7"/>
        <v/>
      </c>
      <c r="H89" s="7">
        <f t="shared" si="6"/>
        <v>0</v>
      </c>
      <c r="I89" s="177" t="str">
        <f>I46</f>
        <v>Mediefag</v>
      </c>
      <c r="J89" s="177"/>
    </row>
    <row r="90" spans="1:22" x14ac:dyDescent="0.25">
      <c r="E90" s="7">
        <v>9</v>
      </c>
      <c r="F90" s="182" t="str">
        <f>IF(OR($A$44=I90,$A$51=I90),I90,"")</f>
        <v/>
      </c>
      <c r="G90" s="7" t="str">
        <f t="shared" si="7"/>
        <v/>
      </c>
      <c r="H90" s="7">
        <f t="shared" si="6"/>
        <v>0</v>
      </c>
      <c r="I90" s="177" t="str">
        <f>I47</f>
        <v>Musik</v>
      </c>
      <c r="J90" s="177"/>
    </row>
    <row r="91" spans="1:22" x14ac:dyDescent="0.25">
      <c r="E91" s="7">
        <v>10</v>
      </c>
      <c r="F91" s="181" t="str">
        <f>I91</f>
        <v>Naturgeografi</v>
      </c>
      <c r="G91" s="113" t="str">
        <f t="shared" si="7"/>
        <v>B</v>
      </c>
      <c r="H91" s="113">
        <f t="shared" si="6"/>
        <v>125</v>
      </c>
      <c r="I91" s="176" t="s">
        <v>52</v>
      </c>
      <c r="J91" s="177"/>
    </row>
    <row r="92" spans="1:22" x14ac:dyDescent="0.25">
      <c r="E92" s="7">
        <v>11</v>
      </c>
      <c r="F92" s="17" t="str">
        <f>IF(OR(A5=E15,A5=E19,A5=E22),I92,"")</f>
        <v/>
      </c>
      <c r="G92" s="160" t="str">
        <f t="shared" si="7"/>
        <v/>
      </c>
      <c r="H92" s="160">
        <f t="shared" si="6"/>
        <v>0</v>
      </c>
      <c r="I92" s="176" t="s">
        <v>17</v>
      </c>
      <c r="J92" s="177"/>
      <c r="M92" s="65"/>
    </row>
    <row r="93" spans="1:22" x14ac:dyDescent="0.25">
      <c r="E93" s="7">
        <v>12</v>
      </c>
      <c r="F93" s="17" t="str">
        <f>IF(A5=9,"",I93)</f>
        <v>Religion</v>
      </c>
      <c r="G93" s="160" t="str">
        <f t="shared" si="7"/>
        <v>B</v>
      </c>
      <c r="H93" s="160">
        <f t="shared" si="6"/>
        <v>125</v>
      </c>
      <c r="I93" s="176" t="s">
        <v>49</v>
      </c>
      <c r="J93" s="12"/>
      <c r="M93" s="65"/>
    </row>
    <row r="94" spans="1:22" x14ac:dyDescent="0.25">
      <c r="E94" s="7">
        <v>13</v>
      </c>
      <c r="F94" s="17" t="str">
        <f>IF(OR($A$5=$E$16,$A$5=$E$19,$A$5=$E$20,A5=E21),"",I94)</f>
        <v>Samfundsfag</v>
      </c>
      <c r="G94" s="160" t="str">
        <f t="shared" si="7"/>
        <v>B</v>
      </c>
      <c r="H94" s="160">
        <f t="shared" si="6"/>
        <v>125</v>
      </c>
      <c r="I94" s="176" t="s">
        <v>5</v>
      </c>
      <c r="J94" s="177"/>
      <c r="M94" s="65"/>
    </row>
    <row r="95" spans="1:22" x14ac:dyDescent="0.25">
      <c r="F95" s="17"/>
      <c r="G95" s="160"/>
      <c r="H95" s="160"/>
      <c r="I95" s="176"/>
      <c r="J95" s="176"/>
      <c r="M95" s="65"/>
    </row>
    <row r="96" spans="1:22" x14ac:dyDescent="0.25">
      <c r="F96" s="17"/>
      <c r="G96" s="160"/>
      <c r="H96" s="160"/>
      <c r="I96" s="176"/>
      <c r="J96" s="176"/>
      <c r="M96" s="65"/>
    </row>
    <row r="97" spans="1:13" x14ac:dyDescent="0.25">
      <c r="F97" s="17"/>
      <c r="G97" s="160"/>
      <c r="H97" s="160"/>
      <c r="I97" s="176"/>
      <c r="J97" s="176"/>
      <c r="M97" s="65"/>
    </row>
    <row r="98" spans="1:13" x14ac:dyDescent="0.25">
      <c r="F98" s="17"/>
      <c r="G98" s="160"/>
      <c r="H98" s="160"/>
      <c r="I98" s="176"/>
      <c r="J98" s="176"/>
      <c r="M98" s="65"/>
    </row>
    <row r="99" spans="1:13" x14ac:dyDescent="0.25">
      <c r="M99" s="65"/>
    </row>
    <row r="100" spans="1:13" x14ac:dyDescent="0.25">
      <c r="A100" s="22" t="s">
        <v>84</v>
      </c>
      <c r="B100" s="22"/>
      <c r="C100" s="22"/>
      <c r="E100" s="7">
        <v>1</v>
      </c>
      <c r="F100" s="1" t="s">
        <v>11</v>
      </c>
      <c r="G100" s="7" t="str">
        <f>IF(F100="","","")</f>
        <v/>
      </c>
      <c r="H100" s="7">
        <f>IF(G100="",0,"")</f>
        <v>0</v>
      </c>
      <c r="I100" s="1"/>
      <c r="M100" s="65"/>
    </row>
    <row r="101" spans="1:13" x14ac:dyDescent="0.25">
      <c r="A101" s="14"/>
      <c r="B101" s="14"/>
      <c r="C101" s="14"/>
      <c r="E101" s="7">
        <v>2</v>
      </c>
      <c r="F101" s="8" t="str">
        <f>IF(A5=E17,"",IF(OR($A$5=$E$16,$A$85=$I$101),I101,""))</f>
        <v/>
      </c>
      <c r="G101" s="7" t="str">
        <f t="shared" ref="G101:G113" si="8">IF(F101="","","A")</f>
        <v/>
      </c>
      <c r="H101" s="7">
        <f t="shared" ref="H101:H113" si="9">IF(G101="",0,125)</f>
        <v>0</v>
      </c>
      <c r="I101" s="6" t="s">
        <v>39</v>
      </c>
      <c r="J101" s="163"/>
      <c r="M101" s="65"/>
    </row>
    <row r="102" spans="1:13" x14ac:dyDescent="0.25">
      <c r="A102" s="23"/>
      <c r="B102" s="23" t="str">
        <f>'Beregn stx'!K24</f>
        <v/>
      </c>
      <c r="C102" s="23">
        <f>'Beregn stx'!L24</f>
        <v>0</v>
      </c>
      <c r="E102" s="7">
        <v>3</v>
      </c>
      <c r="F102" s="185" t="str">
        <f>I102</f>
        <v>Engelsk</v>
      </c>
      <c r="G102" s="7" t="str">
        <f t="shared" si="8"/>
        <v>A</v>
      </c>
      <c r="H102" s="7">
        <f t="shared" si="9"/>
        <v>125</v>
      </c>
      <c r="I102" s="53" t="s">
        <v>2</v>
      </c>
      <c r="J102" s="163"/>
      <c r="M102" s="65"/>
    </row>
    <row r="103" spans="1:13" x14ac:dyDescent="0.25">
      <c r="A103" s="58">
        <f>A104+A105+A106+A107</f>
        <v>3</v>
      </c>
      <c r="B103" s="58"/>
      <c r="C103" s="58"/>
      <c r="E103" s="7">
        <v>4</v>
      </c>
      <c r="F103" s="184" t="str">
        <f>IF($A$26=3,I103,"")</f>
        <v/>
      </c>
      <c r="G103" s="7" t="str">
        <f t="shared" si="8"/>
        <v/>
      </c>
      <c r="H103" s="7">
        <f t="shared" si="9"/>
        <v>0</v>
      </c>
      <c r="I103" s="53" t="s">
        <v>67</v>
      </c>
      <c r="J103" s="46"/>
      <c r="M103" s="65"/>
    </row>
    <row r="104" spans="1:13" x14ac:dyDescent="0.25">
      <c r="A104" s="58">
        <f>IF(B85="B",0,1)</f>
        <v>1</v>
      </c>
      <c r="B104" s="58"/>
      <c r="C104" s="58"/>
      <c r="E104" s="7">
        <v>5</v>
      </c>
      <c r="F104" s="8" t="str">
        <f>IF(OR($A$5=$E$15,$E$16=$A$5,$A$85=$I$104),I104,"")</f>
        <v/>
      </c>
      <c r="G104" s="7" t="str">
        <f t="shared" si="8"/>
        <v/>
      </c>
      <c r="H104" s="7">
        <f t="shared" si="9"/>
        <v>0</v>
      </c>
      <c r="I104" s="53" t="s">
        <v>36</v>
      </c>
      <c r="J104" s="163"/>
      <c r="M104" s="65"/>
    </row>
    <row r="105" spans="1:13" x14ac:dyDescent="0.25">
      <c r="A105" s="58">
        <f>IF(AND(A85="Matematik",B85="A"),0,1)</f>
        <v>1</v>
      </c>
      <c r="B105" s="58"/>
      <c r="C105" s="58"/>
      <c r="E105" s="7">
        <v>6</v>
      </c>
      <c r="F105" s="185" t="str">
        <f>I105</f>
        <v>Kemi</v>
      </c>
      <c r="G105" s="7" t="str">
        <f t="shared" si="8"/>
        <v>A</v>
      </c>
      <c r="H105" s="7">
        <f t="shared" si="9"/>
        <v>125</v>
      </c>
      <c r="I105" s="187" t="s">
        <v>38</v>
      </c>
      <c r="J105" s="46"/>
      <c r="M105" s="65"/>
    </row>
    <row r="106" spans="1:13" x14ac:dyDescent="0.25">
      <c r="A106" s="24">
        <f>IF(A85="VÆLG",0,IF(A85="Matematik",0,IF(A85="International økonomi",0,IF(A85="Tysk",0,1))))</f>
        <v>0</v>
      </c>
      <c r="B106" s="24"/>
      <c r="C106" s="24"/>
      <c r="D106" s="17"/>
      <c r="E106" s="7">
        <v>7</v>
      </c>
      <c r="F106" s="162" t="str">
        <f>IF(OR($A$5=3,$A$5=2),"",I106)</f>
        <v>Matematik</v>
      </c>
      <c r="G106" s="7" t="str">
        <f t="shared" si="8"/>
        <v>A</v>
      </c>
      <c r="H106" s="7">
        <f t="shared" si="9"/>
        <v>125</v>
      </c>
      <c r="I106" s="53" t="s">
        <v>3</v>
      </c>
      <c r="J106" s="46"/>
      <c r="M106" s="65"/>
    </row>
    <row r="107" spans="1:13" x14ac:dyDescent="0.25">
      <c r="A107" s="24">
        <f>IF(A5=2,0,1)</f>
        <v>1</v>
      </c>
      <c r="B107" s="24"/>
      <c r="C107" s="24"/>
      <c r="D107" s="17"/>
      <c r="E107" s="7">
        <v>8</v>
      </c>
      <c r="F107" s="183" t="str">
        <f>IF($A$85=$I$107,'Data HF'!I107,"")</f>
        <v/>
      </c>
      <c r="G107" s="7" t="str">
        <f t="shared" si="8"/>
        <v/>
      </c>
      <c r="H107" s="7">
        <f t="shared" si="9"/>
        <v>0</v>
      </c>
      <c r="I107" s="53" t="s">
        <v>54</v>
      </c>
      <c r="J107" s="163"/>
      <c r="M107" s="65"/>
    </row>
    <row r="108" spans="1:13" x14ac:dyDescent="0.25">
      <c r="A108" s="22" t="s">
        <v>24</v>
      </c>
      <c r="B108" s="22"/>
      <c r="C108" s="22"/>
      <c r="D108" s="17"/>
      <c r="E108" s="7">
        <v>9</v>
      </c>
      <c r="F108" s="183" t="str">
        <f>IF($A$85=$I$108,'Data HF'!I108,"")</f>
        <v/>
      </c>
      <c r="G108" s="7" t="str">
        <f t="shared" si="8"/>
        <v/>
      </c>
      <c r="H108" s="7">
        <f t="shared" si="9"/>
        <v>0</v>
      </c>
      <c r="I108" s="53" t="s">
        <v>5</v>
      </c>
      <c r="J108" s="46"/>
      <c r="L108" s="163"/>
    </row>
    <row r="109" spans="1:13" x14ac:dyDescent="0.25">
      <c r="D109" s="17"/>
      <c r="E109" s="7">
        <v>10</v>
      </c>
      <c r="F109" s="162" t="str">
        <f>IF($A$26=5,I109,"")</f>
        <v/>
      </c>
      <c r="G109" s="7" t="str">
        <f t="shared" si="8"/>
        <v/>
      </c>
      <c r="H109" s="7">
        <f t="shared" si="9"/>
        <v>0</v>
      </c>
      <c r="I109" s="53" t="s">
        <v>8</v>
      </c>
      <c r="J109" s="46"/>
      <c r="L109" s="163"/>
    </row>
    <row r="110" spans="1:13" x14ac:dyDescent="0.25">
      <c r="E110" s="7">
        <v>11</v>
      </c>
      <c r="F110" s="162">
        <f>IF(OR($A$5=3,$A$5=2),"",I110)</f>
        <v>0</v>
      </c>
      <c r="G110" s="7" t="str">
        <f t="shared" si="8"/>
        <v>A</v>
      </c>
      <c r="H110" s="7">
        <f t="shared" si="9"/>
        <v>125</v>
      </c>
      <c r="I110" s="6">
        <f>J106</f>
        <v>0</v>
      </c>
      <c r="L110" s="163"/>
    </row>
    <row r="111" spans="1:13" x14ac:dyDescent="0.25">
      <c r="E111" s="7">
        <v>12</v>
      </c>
      <c r="F111" s="162" t="str">
        <f>IF($A$85=$I$111,'Data HF'!I111,"")</f>
        <v/>
      </c>
      <c r="G111" s="7" t="str">
        <f t="shared" si="8"/>
        <v/>
      </c>
      <c r="H111" s="7">
        <f t="shared" si="9"/>
        <v>0</v>
      </c>
      <c r="I111" s="6"/>
    </row>
    <row r="112" spans="1:13" x14ac:dyDescent="0.25">
      <c r="E112" s="7">
        <v>13</v>
      </c>
      <c r="F112" s="162" t="str">
        <f>IF($A$85=$I$112,'Data HF'!I112,"")</f>
        <v/>
      </c>
      <c r="G112" s="7" t="str">
        <f t="shared" si="8"/>
        <v/>
      </c>
      <c r="H112" s="7">
        <f t="shared" si="9"/>
        <v>0</v>
      </c>
      <c r="I112" s="6">
        <f>J108</f>
        <v>0</v>
      </c>
      <c r="L112" s="163"/>
    </row>
    <row r="113" spans="1:15" x14ac:dyDescent="0.25">
      <c r="E113" s="7">
        <v>14</v>
      </c>
      <c r="F113" s="186" t="str">
        <f>IF($A$26=5,I113,"")</f>
        <v/>
      </c>
      <c r="G113" s="7" t="str">
        <f t="shared" si="8"/>
        <v/>
      </c>
      <c r="H113" s="7">
        <f t="shared" si="9"/>
        <v>0</v>
      </c>
      <c r="I113" s="6">
        <f>J109</f>
        <v>0</v>
      </c>
      <c r="L113" s="163"/>
    </row>
    <row r="114" spans="1:15" x14ac:dyDescent="0.25">
      <c r="H114" s="7"/>
      <c r="L114" s="6"/>
    </row>
    <row r="115" spans="1:15" x14ac:dyDescent="0.25">
      <c r="H115" s="7"/>
      <c r="L115" s="6"/>
    </row>
    <row r="116" spans="1:15" x14ac:dyDescent="0.25">
      <c r="H116" s="7"/>
      <c r="L116" s="6"/>
    </row>
    <row r="117" spans="1:15" x14ac:dyDescent="0.25">
      <c r="H117" s="7"/>
      <c r="L117" s="6"/>
    </row>
    <row r="118" spans="1:15" x14ac:dyDescent="0.25">
      <c r="H118" s="7"/>
    </row>
    <row r="121" spans="1:15" x14ac:dyDescent="0.25">
      <c r="A121" s="8" t="str">
        <f>A6</f>
        <v>VÆLG</v>
      </c>
      <c r="B121" s="18">
        <f>A5</f>
        <v>1</v>
      </c>
      <c r="E121" s="18"/>
      <c r="F121" s="7"/>
      <c r="I121" t="s">
        <v>44</v>
      </c>
      <c r="J121" t="s">
        <v>45</v>
      </c>
    </row>
    <row r="122" spans="1:15" x14ac:dyDescent="0.25">
      <c r="A122" s="7" t="str">
        <f t="shared" ref="A122:C124" si="10">A15</f>
        <v xml:space="preserve"> </v>
      </c>
      <c r="B122" s="37" t="str">
        <f t="shared" si="10"/>
        <v xml:space="preserve"> </v>
      </c>
      <c r="C122" s="34">
        <f t="shared" si="10"/>
        <v>0</v>
      </c>
      <c r="D122" s="36">
        <f>IF(A126=A122,0,IF(A122="",0,1))</f>
        <v>1</v>
      </c>
      <c r="E122" s="33">
        <f>IF(A126=A122,0,IF(CODE((B122))-64=1,1,0))</f>
        <v>0</v>
      </c>
      <c r="F122" s="33">
        <f>IF(D122=0,0,IF(CODE((B122))-65=1,1,0))</f>
        <v>0</v>
      </c>
      <c r="G122" s="33">
        <f>IF(D122=0,0,IF(CODE((B122))-66=1,1,0))</f>
        <v>0</v>
      </c>
      <c r="H122" s="39"/>
      <c r="I122" s="49">
        <f>IF(B122="A",3,0)</f>
        <v>0</v>
      </c>
      <c r="J122">
        <f>IF(B122="B",2,0)</f>
        <v>0</v>
      </c>
    </row>
    <row r="123" spans="1:15" x14ac:dyDescent="0.25">
      <c r="A123" s="7" t="str">
        <f t="shared" si="10"/>
        <v xml:space="preserve"> </v>
      </c>
      <c r="B123" s="37" t="str">
        <f t="shared" si="10"/>
        <v xml:space="preserve"> </v>
      </c>
      <c r="C123" s="34">
        <f t="shared" si="10"/>
        <v>0</v>
      </c>
      <c r="D123" s="52">
        <f>IF(A130=A123,0,IF(A123=A131,0,IF(A123="",0,1)))</f>
        <v>1</v>
      </c>
      <c r="E123" s="33">
        <f>IF(CODE((B123))-64=1,1,0)</f>
        <v>0</v>
      </c>
      <c r="F123" s="33">
        <f>IF(D123=0,0,IF(CODE((B123))-65=1,1,0))</f>
        <v>0</v>
      </c>
      <c r="G123" s="33">
        <f>IF(D123=0,0,IF(CODE((B123))-66=1,1,0))</f>
        <v>0</v>
      </c>
      <c r="H123" s="39"/>
      <c r="I123" s="49">
        <f>IF(B123="A",3,0)</f>
        <v>0</v>
      </c>
      <c r="J123">
        <f>IF(B123="B",2,0)</f>
        <v>0</v>
      </c>
    </row>
    <row r="124" spans="1:15" x14ac:dyDescent="0.25">
      <c r="A124" s="7">
        <f t="shared" si="10"/>
        <v>0</v>
      </c>
      <c r="B124" s="37">
        <f t="shared" si="10"/>
        <v>0</v>
      </c>
      <c r="C124" s="34">
        <f t="shared" si="10"/>
        <v>0</v>
      </c>
      <c r="D124" s="52">
        <f>IF(A130=A124,0,IF(A124=A131,0,IF(A124="",0,1)))</f>
        <v>0</v>
      </c>
      <c r="E124" s="33">
        <f>IF(CODE((B124))-64=1,1,0)</f>
        <v>0</v>
      </c>
      <c r="F124" s="33">
        <f>IF(D124=0,0,IF(CODE((B124))-65=1,1,0))</f>
        <v>0</v>
      </c>
      <c r="G124" s="33">
        <f>IF(D124=0,0,IF(CODE((B124))-66=1,1,0))</f>
        <v>0</v>
      </c>
      <c r="H124" s="39"/>
      <c r="I124" s="54">
        <f>IF(B124="A",3,0)</f>
        <v>0</v>
      </c>
      <c r="J124" s="53">
        <f>IF(A130=A124,0,IF(A131=A124,0,IF(B124="B",2,0)))</f>
        <v>0</v>
      </c>
      <c r="O124" s="7"/>
    </row>
    <row r="125" spans="1:15" x14ac:dyDescent="0.25">
      <c r="B125" s="37"/>
      <c r="C125" s="34"/>
      <c r="D125" s="36"/>
      <c r="E125" s="33"/>
      <c r="F125" s="33"/>
      <c r="G125" s="33"/>
      <c r="H125" s="39"/>
      <c r="I125" s="49"/>
      <c r="O125" s="7"/>
    </row>
    <row r="126" spans="1:15" x14ac:dyDescent="0.25">
      <c r="A126" s="7">
        <f>IF(A26=1,"",A27)</f>
        <v>0</v>
      </c>
      <c r="B126" s="38">
        <f>B27</f>
        <v>0</v>
      </c>
      <c r="C126" s="35">
        <f>C27</f>
        <v>0</v>
      </c>
      <c r="D126" s="52">
        <f>IF(A130=A126,0,IF(A126=A131,0,IF(A123=A126,0,IF(A126="",0,1))))</f>
        <v>0</v>
      </c>
      <c r="E126" s="33">
        <f>IF(B126="",0,IF(CODE((B126))-64=1,1,0))</f>
        <v>0</v>
      </c>
      <c r="F126" s="33">
        <f>IF(D126=0,0,IF(CODE((B126))-65=1,1,0))</f>
        <v>0</v>
      </c>
      <c r="G126" s="33">
        <f>IF(D126=0,0,IF(CODE((B126))-66=1,1,0))</f>
        <v>0</v>
      </c>
      <c r="H126" s="39"/>
      <c r="I126" s="49">
        <f>IF(A122=A126,0,IF(B126="A",3,0))</f>
        <v>0</v>
      </c>
      <c r="J126" s="53">
        <f>IF(L126="Tysk",0,IF(B126="B",2,0))</f>
        <v>0</v>
      </c>
      <c r="L126" s="45" t="str">
        <f>IF(A130="Tysk","Tysk",(IF(A131="Tysk","Tysk","")))</f>
        <v/>
      </c>
    </row>
    <row r="127" spans="1:15" x14ac:dyDescent="0.25">
      <c r="B127" s="38"/>
      <c r="C127" s="35"/>
      <c r="D127" s="36"/>
      <c r="E127" s="33"/>
      <c r="F127" s="33"/>
      <c r="G127" s="33"/>
      <c r="H127" s="39"/>
      <c r="I127" s="49"/>
    </row>
    <row r="128" spans="1:15" x14ac:dyDescent="0.25">
      <c r="A128" s="7" t="str">
        <f>IF(A50=1,"",A51)</f>
        <v/>
      </c>
      <c r="B128" s="37" t="str">
        <f>B51</f>
        <v/>
      </c>
      <c r="C128" s="34">
        <f>C51</f>
        <v>0</v>
      </c>
      <c r="D128" s="52">
        <f>IF($A$130=A128,0,IF(A128=$A$131,0,IF(A128="",0,1)))</f>
        <v>0</v>
      </c>
      <c r="E128" s="33">
        <f>IF(B128="",0,IF(CODE((B128))-64=1,1,0))</f>
        <v>0</v>
      </c>
      <c r="F128" s="33">
        <f>IF(D128=0,0,IF(CODE((B128))-65=1,1,0))</f>
        <v>0</v>
      </c>
      <c r="G128" s="61">
        <f>IF(D128=0,0,IF(CODE((B128))-66=1,1,0))</f>
        <v>0</v>
      </c>
      <c r="H128" s="33">
        <f>IF(B128="",0,1)</f>
        <v>0</v>
      </c>
      <c r="I128" s="49"/>
    </row>
    <row r="129" spans="1:12" x14ac:dyDescent="0.25">
      <c r="A129" s="7" t="e">
        <f>IF(A66=1,"",A67)</f>
        <v>#REF!</v>
      </c>
      <c r="B129" s="37" t="e">
        <f>B67</f>
        <v>#REF!</v>
      </c>
      <c r="C129" s="34" t="e">
        <f>C67</f>
        <v>#REF!</v>
      </c>
      <c r="D129" s="52" t="e">
        <f>IF($A$130=A129,0,IF(A129=$A$131,0,IF(A129="",0,1)))</f>
        <v>#REF!</v>
      </c>
      <c r="E129" s="33" t="e">
        <f>IF(B129="",0,IF(CODE((B129))-64=1,1,0))</f>
        <v>#REF!</v>
      </c>
      <c r="F129" s="33" t="e">
        <f>IF(D129=0,0,IF(CODE((B129))-65=1,1,0))</f>
        <v>#REF!</v>
      </c>
      <c r="G129" s="61" t="e">
        <f>IF(D129=0,0,IF(CODE((B129))-66=1,1,0))</f>
        <v>#REF!</v>
      </c>
      <c r="H129" s="33" t="e">
        <f>IF(B129="",0,1)</f>
        <v>#REF!</v>
      </c>
      <c r="I129" s="49"/>
    </row>
    <row r="130" spans="1:12" x14ac:dyDescent="0.25">
      <c r="A130" s="7" t="str">
        <f>IF(A84=1,"",A85)</f>
        <v/>
      </c>
      <c r="B130" s="37" t="str">
        <f>B85</f>
        <v/>
      </c>
      <c r="C130" s="34">
        <f>C85</f>
        <v>0</v>
      </c>
      <c r="D130" s="52">
        <f>IF(A130=A131,0,IF(A130="",0,1))</f>
        <v>0</v>
      </c>
      <c r="E130" s="33">
        <f>IF(B130="",0,IF(CODE((B130))-64=1,1,0))</f>
        <v>0</v>
      </c>
      <c r="F130" s="33">
        <f>IF(D130=0,0,IF(CODE((B130))-65=1,1,0))</f>
        <v>0</v>
      </c>
      <c r="G130" s="33">
        <f>IF(D130=0,0,IF(CODE((B130))-66=1,1,0))</f>
        <v>0</v>
      </c>
      <c r="H130" s="56">
        <f>IF(B130="",0,1)</f>
        <v>0</v>
      </c>
      <c r="I130" s="62">
        <f>IF(B130="A",3,0)</f>
        <v>0</v>
      </c>
      <c r="J130" s="63">
        <f>IF(B130="B",2,0)</f>
        <v>0</v>
      </c>
    </row>
    <row r="131" spans="1:12" x14ac:dyDescent="0.25">
      <c r="B131" s="37"/>
      <c r="C131" s="34"/>
      <c r="D131" s="51"/>
      <c r="E131" s="33"/>
      <c r="F131" s="33"/>
      <c r="G131" s="33"/>
      <c r="H131" s="33"/>
      <c r="I131" s="57"/>
      <c r="J131" s="53"/>
      <c r="L131" s="60"/>
    </row>
    <row r="132" spans="1:12" x14ac:dyDescent="0.25">
      <c r="B132" s="38"/>
      <c r="C132" s="35"/>
      <c r="D132" s="36"/>
      <c r="E132" s="33"/>
      <c r="F132" s="33"/>
      <c r="G132" s="33"/>
      <c r="H132" s="39"/>
      <c r="I132" s="50"/>
    </row>
    <row r="133" spans="1:12" x14ac:dyDescent="0.25">
      <c r="A133" s="7" t="str">
        <f>'Beregn HF'!F5</f>
        <v>Dansk</v>
      </c>
      <c r="B133" s="7" t="str">
        <f>'Beregn HF'!G5</f>
        <v>A</v>
      </c>
      <c r="C133" s="7">
        <f>'Beregn stx'!H4</f>
        <v>260</v>
      </c>
      <c r="D133" s="33">
        <f t="shared" ref="D133:D141" si="11">IF(ISNA(VLOOKUP(A133,A$122:A$131,1,)),1,0)</f>
        <v>1</v>
      </c>
      <c r="E133" s="33">
        <f t="shared" ref="E133:E141" si="12">IF(CODE((B133))-64=1,1,0)</f>
        <v>1</v>
      </c>
      <c r="F133" s="33">
        <f t="shared" ref="F133:F141" si="13">IF(D133=0,0,IF(CODE((B133))-65=1,1,0))</f>
        <v>0</v>
      </c>
      <c r="G133" s="33">
        <f t="shared" ref="G133:G141" si="14">IF(D133=0,0,IF(CODE((B133))-66=1,1,0))</f>
        <v>0</v>
      </c>
      <c r="H133" s="39"/>
      <c r="I133" s="50">
        <v>3</v>
      </c>
    </row>
    <row r="134" spans="1:12" x14ac:dyDescent="0.25">
      <c r="A134" s="7" t="str">
        <f>'Beregn HF'!F6</f>
        <v>Engelsk</v>
      </c>
      <c r="B134" s="7" t="str">
        <f>'Beregn HF'!G6</f>
        <v>B</v>
      </c>
      <c r="C134" s="7">
        <f>'Beregn stx'!H5</f>
        <v>190</v>
      </c>
      <c r="D134" s="33">
        <f t="shared" si="11"/>
        <v>1</v>
      </c>
      <c r="E134" s="33">
        <f t="shared" si="12"/>
        <v>0</v>
      </c>
      <c r="F134" s="33">
        <f t="shared" si="13"/>
        <v>1</v>
      </c>
      <c r="G134" s="33">
        <f t="shared" si="14"/>
        <v>0</v>
      </c>
      <c r="H134" s="39"/>
      <c r="I134" s="50">
        <v>3</v>
      </c>
    </row>
    <row r="135" spans="1:12" x14ac:dyDescent="0.25">
      <c r="A135" s="7" t="str">
        <f>'Beregn HF'!F7</f>
        <v>Historie</v>
      </c>
      <c r="B135" s="7" t="str">
        <f>'Beregn HF'!G7</f>
        <v>B</v>
      </c>
      <c r="C135" s="7">
        <f>'Beregn stx'!H6</f>
        <v>210</v>
      </c>
      <c r="D135" s="33">
        <f t="shared" si="11"/>
        <v>1</v>
      </c>
      <c r="E135" s="33">
        <f t="shared" si="12"/>
        <v>0</v>
      </c>
      <c r="F135" s="33">
        <f t="shared" si="13"/>
        <v>1</v>
      </c>
      <c r="G135" s="33">
        <f t="shared" si="14"/>
        <v>0</v>
      </c>
      <c r="H135" s="39"/>
      <c r="I135" s="8"/>
      <c r="J135">
        <f>IF(F135=1,2,0)</f>
        <v>2</v>
      </c>
    </row>
    <row r="136" spans="1:12" x14ac:dyDescent="0.25">
      <c r="A136" s="7" t="str">
        <f>'Beregn HF'!F8</f>
        <v>Biologi</v>
      </c>
      <c r="B136" s="7" t="str">
        <f>'Beregn HF'!G8</f>
        <v>C</v>
      </c>
      <c r="C136" s="7">
        <f>'Beregn stx'!H7</f>
        <v>250</v>
      </c>
      <c r="D136" s="33">
        <f t="shared" si="11"/>
        <v>1</v>
      </c>
      <c r="E136" s="33">
        <f t="shared" si="12"/>
        <v>0</v>
      </c>
      <c r="F136" s="33">
        <f t="shared" si="13"/>
        <v>0</v>
      </c>
      <c r="G136" s="33">
        <f t="shared" si="14"/>
        <v>1</v>
      </c>
      <c r="H136" s="39"/>
      <c r="I136" s="8"/>
      <c r="J136">
        <f>IF(F136=1,2,0)</f>
        <v>0</v>
      </c>
    </row>
    <row r="137" spans="1:12" x14ac:dyDescent="0.25">
      <c r="A137" s="25" t="s">
        <v>52</v>
      </c>
      <c r="B137" s="7" t="str">
        <f>'Beregn HF'!G9</f>
        <v>C</v>
      </c>
      <c r="C137" s="7">
        <f>'Beregn stx'!H8</f>
        <v>75</v>
      </c>
      <c r="D137" s="33">
        <f t="shared" si="11"/>
        <v>1</v>
      </c>
      <c r="E137" s="33">
        <f t="shared" si="12"/>
        <v>0</v>
      </c>
      <c r="F137" s="33">
        <f t="shared" si="13"/>
        <v>0</v>
      </c>
      <c r="G137" s="33">
        <f t="shared" si="14"/>
        <v>1</v>
      </c>
      <c r="H137" s="39"/>
      <c r="I137" s="8"/>
      <c r="J137">
        <f>IF(F137=1,2,0)</f>
        <v>0</v>
      </c>
    </row>
    <row r="138" spans="1:12" x14ac:dyDescent="0.25">
      <c r="A138" s="7" t="str">
        <f>'Beregn HF'!F10</f>
        <v>Kemi</v>
      </c>
      <c r="B138" s="7" t="str">
        <f>'Beregn HF'!G10</f>
        <v>C</v>
      </c>
      <c r="C138" s="7">
        <f>'Beregn stx'!H9</f>
        <v>150</v>
      </c>
      <c r="D138" s="114">
        <f t="shared" si="11"/>
        <v>1</v>
      </c>
      <c r="E138" s="33">
        <f t="shared" si="12"/>
        <v>0</v>
      </c>
      <c r="F138" s="33">
        <f t="shared" si="13"/>
        <v>0</v>
      </c>
      <c r="G138" s="33">
        <f t="shared" si="14"/>
        <v>1</v>
      </c>
      <c r="H138" s="39"/>
      <c r="I138" s="8"/>
      <c r="J138">
        <f>IF(F138=1,2,0)</f>
        <v>0</v>
      </c>
    </row>
    <row r="139" spans="1:12" x14ac:dyDescent="0.25">
      <c r="A139" s="7" t="str">
        <f>'Beregn HF'!F11</f>
        <v>Matematik</v>
      </c>
      <c r="B139" s="7" t="str">
        <f>'Beregn HF'!G11</f>
        <v>C</v>
      </c>
      <c r="C139" s="7">
        <f>'Beregn stx'!H10</f>
        <v>75</v>
      </c>
      <c r="D139" s="33">
        <f t="shared" si="11"/>
        <v>1</v>
      </c>
      <c r="E139" s="33">
        <f t="shared" si="12"/>
        <v>0</v>
      </c>
      <c r="F139" s="33">
        <f t="shared" si="13"/>
        <v>0</v>
      </c>
      <c r="G139" s="55">
        <f t="shared" si="14"/>
        <v>1</v>
      </c>
      <c r="H139" s="39"/>
      <c r="I139" s="8"/>
    </row>
    <row r="140" spans="1:12" x14ac:dyDescent="0.25">
      <c r="A140" s="7" t="str">
        <f>'Beregn HF'!F12</f>
        <v>Religion</v>
      </c>
      <c r="B140" s="7" t="str">
        <f>'Beregn HF'!G12</f>
        <v>C</v>
      </c>
      <c r="C140" s="7">
        <f>'Beregn stx'!H11</f>
        <v>75</v>
      </c>
      <c r="D140" s="33">
        <f t="shared" si="11"/>
        <v>1</v>
      </c>
      <c r="E140" s="33">
        <f t="shared" si="12"/>
        <v>0</v>
      </c>
      <c r="F140" s="33">
        <f t="shared" si="13"/>
        <v>0</v>
      </c>
      <c r="G140" s="33">
        <f t="shared" si="14"/>
        <v>1</v>
      </c>
      <c r="H140" s="39"/>
    </row>
    <row r="141" spans="1:12" x14ac:dyDescent="0.25">
      <c r="A141" s="7" t="str">
        <f>'Beregn HF'!F13</f>
        <v>Samfundsfag</v>
      </c>
      <c r="B141" s="7" t="str">
        <f>'Beregn HF'!G13</f>
        <v>C</v>
      </c>
      <c r="C141" s="7">
        <f>'Beregn stx'!H12</f>
        <v>75</v>
      </c>
      <c r="D141" s="33">
        <f t="shared" si="11"/>
        <v>1</v>
      </c>
      <c r="E141" s="33">
        <f t="shared" si="12"/>
        <v>0</v>
      </c>
      <c r="F141" s="33">
        <f t="shared" si="13"/>
        <v>0</v>
      </c>
      <c r="G141" s="33">
        <f t="shared" si="14"/>
        <v>1</v>
      </c>
      <c r="H141" s="39"/>
      <c r="I141" s="8"/>
    </row>
    <row r="142" spans="1:12" x14ac:dyDescent="0.25">
      <c r="A142" s="7" t="str">
        <f>IF(A43=1,"",A44)</f>
        <v/>
      </c>
      <c r="B142" s="7" t="str">
        <f>B44</f>
        <v/>
      </c>
      <c r="C142" s="7">
        <f>C44</f>
        <v>0</v>
      </c>
      <c r="D142" s="52">
        <f>IF($A$130=A142,0,IF(A142=$A$131,0,IF(A142="",0,IF($A$128=A142,0,1))))</f>
        <v>0</v>
      </c>
      <c r="E142" s="33">
        <f>IF(B142="",0,IF(CODE((B142))-64=1,1,0))</f>
        <v>0</v>
      </c>
      <c r="F142" s="33">
        <f>IF(D142=0,0,IF(CODE((B142))-65=1,1,0))</f>
        <v>0</v>
      </c>
      <c r="G142" s="33">
        <f>IF(D142=0,0,IF(CODE((B142))-66=1,1,0))</f>
        <v>0</v>
      </c>
      <c r="H142" s="39"/>
      <c r="I142" s="8"/>
    </row>
    <row r="143" spans="1:12" x14ac:dyDescent="0.25">
      <c r="B143" s="7"/>
      <c r="C143" s="7"/>
      <c r="D143" s="33"/>
      <c r="E143" s="33"/>
      <c r="F143" s="33"/>
      <c r="G143" s="33"/>
      <c r="H143" s="39"/>
      <c r="I143" s="8"/>
    </row>
    <row r="144" spans="1:12" x14ac:dyDescent="0.25">
      <c r="B144" s="7"/>
      <c r="C144" s="7"/>
      <c r="D144" s="33"/>
      <c r="E144" s="33"/>
      <c r="F144" s="33"/>
      <c r="G144" s="33"/>
      <c r="H144" s="39"/>
      <c r="I144" s="8"/>
    </row>
    <row r="145" spans="1:10" x14ac:dyDescent="0.25">
      <c r="B145" s="7"/>
      <c r="C145" s="7"/>
    </row>
    <row r="146" spans="1:10" x14ac:dyDescent="0.25">
      <c r="A146" s="15" t="s">
        <v>25</v>
      </c>
      <c r="B146" s="15"/>
      <c r="C146" s="15"/>
      <c r="D146" s="15" t="e">
        <f>SUM(D122:D145)</f>
        <v>#REF!</v>
      </c>
    </row>
    <row r="147" spans="1:10" x14ac:dyDescent="0.25">
      <c r="A147" s="24" t="s">
        <v>26</v>
      </c>
      <c r="B147" s="24"/>
      <c r="C147" s="24"/>
      <c r="D147" s="24"/>
      <c r="E147" s="29" t="e">
        <f>SUM(E122:E146)</f>
        <v>#REF!</v>
      </c>
      <c r="I147" s="59">
        <f>I122+I123+I124+I133+I134+I126+I130+I131+L131</f>
        <v>6</v>
      </c>
    </row>
    <row r="148" spans="1:10" x14ac:dyDescent="0.25">
      <c r="A148" s="25" t="s">
        <v>27</v>
      </c>
      <c r="B148" s="25"/>
      <c r="C148" s="25"/>
      <c r="D148" s="25"/>
      <c r="E148" s="25"/>
      <c r="F148" s="28" t="e">
        <f>SUM(F122:F142)</f>
        <v>#REF!</v>
      </c>
      <c r="I148" t="e">
        <f>F148*2</f>
        <v>#REF!</v>
      </c>
      <c r="J148" s="59">
        <f>SUM(J122:J138)+L131</f>
        <v>2</v>
      </c>
    </row>
    <row r="149" spans="1:10" x14ac:dyDescent="0.25">
      <c r="A149" s="31" t="s">
        <v>30</v>
      </c>
      <c r="B149" s="31"/>
      <c r="C149" s="31"/>
      <c r="D149" s="31"/>
      <c r="E149" s="31"/>
      <c r="F149" s="32"/>
      <c r="G149" s="40" t="e">
        <f>SUM(G122:G142)</f>
        <v>#REF!</v>
      </c>
      <c r="I149" t="e">
        <f>G149</f>
        <v>#REF!</v>
      </c>
    </row>
    <row r="150" spans="1:10" x14ac:dyDescent="0.25">
      <c r="A150" s="26" t="s">
        <v>28</v>
      </c>
      <c r="B150" s="26"/>
      <c r="C150" s="26"/>
      <c r="D150" s="26"/>
      <c r="E150" s="26"/>
      <c r="F150" s="27"/>
      <c r="G150" s="26"/>
      <c r="H150" s="30" t="e">
        <f>SUM(H122:H141)</f>
        <v>#REF!</v>
      </c>
    </row>
    <row r="151" spans="1:10" x14ac:dyDescent="0.25">
      <c r="A151" s="42" t="s">
        <v>35</v>
      </c>
      <c r="B151" s="42"/>
      <c r="C151" s="42"/>
      <c r="D151" s="42"/>
      <c r="E151" s="42"/>
      <c r="F151" s="43"/>
      <c r="G151" s="42"/>
      <c r="H151" s="44"/>
      <c r="I151" s="44" t="e">
        <f>SUM(I147:I150)</f>
        <v>#REF!</v>
      </c>
    </row>
    <row r="152" spans="1:10" x14ac:dyDescent="0.25">
      <c r="A152" s="7" t="s">
        <v>29</v>
      </c>
      <c r="B152" s="7"/>
      <c r="C152" s="7"/>
      <c r="E152" s="18" t="e">
        <f>IF(AND(E147&gt;0,E147&lt;7),0,1)</f>
        <v>#REF!</v>
      </c>
      <c r="F152" s="33"/>
      <c r="G152" s="34" t="e">
        <f>IF(G149&gt;0,0,1)</f>
        <v>#REF!</v>
      </c>
      <c r="J152" s="16" t="e">
        <f>SUM(D152:I152)</f>
        <v>#REF!</v>
      </c>
    </row>
    <row r="155" spans="1:10" x14ac:dyDescent="0.25">
      <c r="E155" s="7">
        <v>1</v>
      </c>
    </row>
    <row r="156" spans="1:10" x14ac:dyDescent="0.25">
      <c r="E156" s="7">
        <v>2</v>
      </c>
      <c r="F156" s="174" t="s">
        <v>156</v>
      </c>
      <c r="I156" s="167"/>
    </row>
    <row r="157" spans="1:10" x14ac:dyDescent="0.25">
      <c r="E157" s="7">
        <v>3</v>
      </c>
      <c r="F157" s="174" t="s">
        <v>157</v>
      </c>
      <c r="I157" s="170"/>
    </row>
    <row r="158" spans="1:10" x14ac:dyDescent="0.25">
      <c r="E158" s="7">
        <v>4</v>
      </c>
      <c r="F158" s="174" t="s">
        <v>159</v>
      </c>
    </row>
    <row r="159" spans="1:10" x14ac:dyDescent="0.25">
      <c r="E159" s="7">
        <v>5</v>
      </c>
      <c r="F159" s="174" t="s">
        <v>158</v>
      </c>
    </row>
    <row r="160" spans="1:10" x14ac:dyDescent="0.25">
      <c r="E160" s="7">
        <v>6</v>
      </c>
      <c r="F160" s="174" t="s">
        <v>161</v>
      </c>
    </row>
    <row r="161" spans="5:6" x14ac:dyDescent="0.25">
      <c r="E161" s="7">
        <v>7</v>
      </c>
      <c r="F161" s="174" t="s">
        <v>162</v>
      </c>
    </row>
    <row r="162" spans="5:6" x14ac:dyDescent="0.25">
      <c r="E162" s="7">
        <v>8</v>
      </c>
      <c r="F162" s="174" t="s">
        <v>163</v>
      </c>
    </row>
    <row r="163" spans="5:6" x14ac:dyDescent="0.25">
      <c r="E163" s="7">
        <v>9</v>
      </c>
      <c r="F163" s="174" t="s">
        <v>160</v>
      </c>
    </row>
    <row r="164" spans="5:6" x14ac:dyDescent="0.25">
      <c r="F164" s="167"/>
    </row>
    <row r="166" spans="5:6" x14ac:dyDescent="0.25">
      <c r="E166" s="7">
        <v>1</v>
      </c>
    </row>
    <row r="167" spans="5:6" x14ac:dyDescent="0.25">
      <c r="E167" s="7">
        <v>2</v>
      </c>
      <c r="F167" s="174" t="s">
        <v>98</v>
      </c>
    </row>
    <row r="168" spans="5:6" x14ac:dyDescent="0.25">
      <c r="E168" s="7">
        <v>3</v>
      </c>
      <c r="F168" s="174" t="s">
        <v>98</v>
      </c>
    </row>
    <row r="169" spans="5:6" x14ac:dyDescent="0.25">
      <c r="E169" s="7">
        <v>4</v>
      </c>
      <c r="F169" s="174" t="s">
        <v>98</v>
      </c>
    </row>
    <row r="170" spans="5:6" x14ac:dyDescent="0.25">
      <c r="E170" s="7">
        <v>5</v>
      </c>
      <c r="F170" s="174" t="s">
        <v>98</v>
      </c>
    </row>
    <row r="171" spans="5:6" x14ac:dyDescent="0.25">
      <c r="E171" s="7">
        <v>6</v>
      </c>
      <c r="F171" s="174" t="s">
        <v>98</v>
      </c>
    </row>
    <row r="172" spans="5:6" x14ac:dyDescent="0.25">
      <c r="E172" s="7">
        <v>7</v>
      </c>
      <c r="F172" s="174" t="s">
        <v>98</v>
      </c>
    </row>
    <row r="173" spans="5:6" x14ac:dyDescent="0.25">
      <c r="E173" s="7">
        <v>8</v>
      </c>
      <c r="F173" s="174" t="s">
        <v>98</v>
      </c>
    </row>
    <row r="174" spans="5:6" x14ac:dyDescent="0.25">
      <c r="E174" s="7">
        <v>9</v>
      </c>
      <c r="F174" s="174" t="s">
        <v>98</v>
      </c>
    </row>
    <row r="177" spans="2:25" x14ac:dyDescent="0.25">
      <c r="E177" s="7">
        <v>1</v>
      </c>
    </row>
    <row r="178" spans="2:25" x14ac:dyDescent="0.25">
      <c r="E178" s="7">
        <v>2</v>
      </c>
      <c r="F178" s="174" t="s">
        <v>97</v>
      </c>
    </row>
    <row r="179" spans="2:25" s="7" customFormat="1" x14ac:dyDescent="0.25">
      <c r="B179" s="18"/>
      <c r="C179" s="18"/>
      <c r="D179" s="18"/>
      <c r="E179" s="7">
        <v>3</v>
      </c>
      <c r="F179" t="s">
        <v>96</v>
      </c>
      <c r="H179"/>
      <c r="I179"/>
      <c r="J179"/>
      <c r="K179"/>
      <c r="L179"/>
      <c r="M179"/>
      <c r="N179"/>
      <c r="O179"/>
      <c r="P179"/>
      <c r="Q179"/>
      <c r="R179"/>
      <c r="S179"/>
      <c r="T179"/>
      <c r="U179"/>
      <c r="V179"/>
      <c r="W179"/>
      <c r="X179"/>
      <c r="Y179"/>
    </row>
    <row r="180" spans="2:25" s="7" customFormat="1" x14ac:dyDescent="0.25">
      <c r="B180" s="18"/>
      <c r="C180" s="18"/>
      <c r="D180" s="18"/>
      <c r="E180" s="7">
        <v>4</v>
      </c>
      <c r="F180" s="174" t="s">
        <v>164</v>
      </c>
      <c r="H180"/>
      <c r="I180"/>
      <c r="J180"/>
      <c r="K180"/>
      <c r="L180"/>
      <c r="M180"/>
      <c r="N180"/>
      <c r="O180"/>
      <c r="P180"/>
      <c r="Q180"/>
      <c r="R180"/>
      <c r="S180"/>
      <c r="T180"/>
      <c r="U180"/>
      <c r="V180"/>
      <c r="W180"/>
      <c r="X180"/>
      <c r="Y180"/>
    </row>
    <row r="181" spans="2:25" s="7" customFormat="1" x14ac:dyDescent="0.25">
      <c r="B181" s="18"/>
      <c r="C181" s="18"/>
      <c r="D181" s="18"/>
      <c r="E181" s="7">
        <v>5</v>
      </c>
      <c r="F181" s="174" t="s">
        <v>164</v>
      </c>
      <c r="H181"/>
      <c r="I181"/>
      <c r="J181"/>
      <c r="K181"/>
      <c r="L181"/>
      <c r="M181"/>
      <c r="N181"/>
      <c r="O181"/>
      <c r="P181"/>
      <c r="Q181"/>
      <c r="R181"/>
      <c r="S181"/>
      <c r="T181"/>
      <c r="U181"/>
      <c r="V181"/>
      <c r="W181"/>
      <c r="X181"/>
      <c r="Y181"/>
    </row>
    <row r="182" spans="2:25" x14ac:dyDescent="0.25">
      <c r="E182" s="7">
        <v>6</v>
      </c>
      <c r="F182" s="174" t="s">
        <v>97</v>
      </c>
    </row>
    <row r="183" spans="2:25" x14ac:dyDescent="0.25">
      <c r="E183" s="7">
        <v>7</v>
      </c>
      <c r="F183" t="s">
        <v>96</v>
      </c>
    </row>
    <row r="184" spans="2:25" x14ac:dyDescent="0.25">
      <c r="E184" s="7">
        <v>8</v>
      </c>
      <c r="F184" s="174" t="s">
        <v>165</v>
      </c>
    </row>
    <row r="185" spans="2:25" x14ac:dyDescent="0.25">
      <c r="E185" s="7">
        <v>9</v>
      </c>
      <c r="F185" s="174" t="s">
        <v>97</v>
      </c>
    </row>
    <row r="186" spans="2:25" x14ac:dyDescent="0.25">
      <c r="F186" s="174"/>
    </row>
    <row r="187" spans="2:25" s="7" customFormat="1" x14ac:dyDescent="0.25">
      <c r="B187" s="18"/>
      <c r="C187" s="18"/>
      <c r="D187" s="18"/>
      <c r="F187" s="174"/>
      <c r="H187"/>
      <c r="I187"/>
      <c r="J187"/>
      <c r="K187"/>
      <c r="L187"/>
      <c r="M187"/>
      <c r="N187"/>
      <c r="O187"/>
      <c r="P187"/>
      <c r="Q187"/>
      <c r="R187"/>
      <c r="S187"/>
      <c r="T187"/>
      <c r="U187"/>
      <c r="V187"/>
      <c r="W187"/>
      <c r="X187"/>
      <c r="Y187"/>
    </row>
    <row r="188" spans="2:25" s="7" customFormat="1" x14ac:dyDescent="0.25">
      <c r="B188" s="18"/>
      <c r="C188" s="18"/>
      <c r="D188" s="18"/>
      <c r="F188" s="174"/>
      <c r="H188"/>
      <c r="I188"/>
      <c r="J188"/>
      <c r="K188"/>
      <c r="L188"/>
      <c r="M188"/>
      <c r="N188"/>
      <c r="O188"/>
      <c r="P188"/>
      <c r="Q188"/>
      <c r="R188"/>
      <c r="S188"/>
      <c r="T188"/>
      <c r="U188"/>
      <c r="V188"/>
      <c r="W188"/>
      <c r="X188"/>
      <c r="Y188"/>
    </row>
    <row r="189" spans="2:25" s="7" customFormat="1" x14ac:dyDescent="0.25">
      <c r="B189" s="18"/>
      <c r="C189" s="18"/>
      <c r="D189" s="18"/>
      <c r="F189" s="174"/>
      <c r="H189"/>
      <c r="I189"/>
      <c r="J189"/>
      <c r="K189"/>
      <c r="L189"/>
      <c r="M189"/>
      <c r="N189"/>
      <c r="O189"/>
      <c r="P189"/>
      <c r="Q189"/>
      <c r="R189"/>
      <c r="S189"/>
      <c r="T189"/>
      <c r="U189"/>
      <c r="V189"/>
      <c r="W189"/>
      <c r="X189"/>
      <c r="Y189"/>
    </row>
    <row r="190" spans="2:25" s="7" customFormat="1" x14ac:dyDescent="0.25">
      <c r="B190" s="18"/>
      <c r="C190" s="18"/>
      <c r="D190" s="18"/>
      <c r="F190" s="275"/>
      <c r="H190"/>
      <c r="I190"/>
      <c r="J190"/>
      <c r="K190"/>
      <c r="L190"/>
      <c r="M190"/>
      <c r="N190"/>
      <c r="O190"/>
      <c r="P190"/>
      <c r="Q190"/>
      <c r="R190"/>
      <c r="S190"/>
      <c r="T190"/>
      <c r="U190"/>
      <c r="V190"/>
      <c r="W190"/>
      <c r="X190"/>
      <c r="Y190"/>
    </row>
    <row r="191" spans="2:25" s="7" customFormat="1" x14ac:dyDescent="0.25">
      <c r="B191" s="18"/>
      <c r="C191" s="18"/>
      <c r="D191" s="18"/>
      <c r="F191" s="174"/>
      <c r="H191"/>
      <c r="I191"/>
      <c r="J191"/>
      <c r="K191"/>
      <c r="L191"/>
      <c r="M191"/>
      <c r="N191"/>
      <c r="O191"/>
      <c r="P191"/>
      <c r="Q191"/>
      <c r="R191"/>
      <c r="S191"/>
      <c r="T191"/>
      <c r="U191"/>
      <c r="V191"/>
      <c r="W191"/>
      <c r="X191"/>
      <c r="Y191"/>
    </row>
    <row r="192" spans="2:25" s="7" customFormat="1" x14ac:dyDescent="0.25">
      <c r="B192" s="18"/>
      <c r="C192" s="18"/>
      <c r="D192" s="18"/>
      <c r="F192" s="174"/>
      <c r="H192"/>
      <c r="I192"/>
      <c r="J192"/>
      <c r="K192"/>
      <c r="L192"/>
      <c r="M192"/>
      <c r="N192"/>
      <c r="O192"/>
      <c r="P192"/>
      <c r="Q192"/>
      <c r="R192"/>
      <c r="S192"/>
      <c r="T192"/>
      <c r="U192"/>
      <c r="V192"/>
      <c r="W192"/>
      <c r="X192"/>
      <c r="Y192"/>
    </row>
    <row r="193" spans="2:25" s="7" customFormat="1" x14ac:dyDescent="0.25">
      <c r="B193" s="18"/>
      <c r="C193" s="18"/>
      <c r="D193" s="18"/>
      <c r="F193" s="174"/>
      <c r="H193"/>
      <c r="I193"/>
      <c r="J193"/>
      <c r="K193"/>
      <c r="L193"/>
      <c r="M193"/>
      <c r="N193"/>
      <c r="O193"/>
      <c r="P193"/>
      <c r="Q193"/>
      <c r="R193"/>
      <c r="S193"/>
      <c r="T193"/>
      <c r="U193"/>
      <c r="V193"/>
      <c r="W193"/>
      <c r="X193"/>
      <c r="Y193"/>
    </row>
    <row r="194" spans="2:25" s="7" customFormat="1" x14ac:dyDescent="0.25">
      <c r="B194" s="18"/>
      <c r="C194" s="18"/>
      <c r="D194" s="18"/>
      <c r="F194" s="174"/>
      <c r="H194"/>
      <c r="I194"/>
      <c r="J194"/>
      <c r="K194"/>
      <c r="L194"/>
      <c r="M194"/>
      <c r="N194"/>
      <c r="O194"/>
      <c r="P194"/>
      <c r="Q194"/>
      <c r="R194"/>
      <c r="S194"/>
      <c r="T194"/>
      <c r="U194"/>
      <c r="V194"/>
      <c r="W194"/>
      <c r="X194"/>
      <c r="Y194"/>
    </row>
    <row r="195" spans="2:25" s="7" customFormat="1" x14ac:dyDescent="0.25">
      <c r="B195" s="18"/>
      <c r="C195" s="18"/>
      <c r="D195" s="18"/>
      <c r="F195" s="174"/>
      <c r="H195"/>
      <c r="I195"/>
      <c r="J195"/>
      <c r="K195"/>
      <c r="L195"/>
      <c r="M195"/>
      <c r="N195"/>
      <c r="O195"/>
      <c r="P195"/>
      <c r="Q195"/>
      <c r="R195"/>
      <c r="S195"/>
      <c r="T195"/>
      <c r="U195"/>
      <c r="V195"/>
      <c r="W195"/>
      <c r="X195"/>
      <c r="Y195"/>
    </row>
    <row r="196" spans="2:25" s="7" customFormat="1" x14ac:dyDescent="0.25">
      <c r="B196" s="18"/>
      <c r="C196" s="18"/>
      <c r="D196" s="18"/>
      <c r="F196" s="174"/>
      <c r="H196"/>
      <c r="I196"/>
      <c r="J196"/>
      <c r="K196"/>
      <c r="L196"/>
      <c r="M196"/>
      <c r="N196"/>
      <c r="O196"/>
      <c r="P196"/>
      <c r="Q196"/>
      <c r="R196"/>
      <c r="S196"/>
      <c r="T196"/>
      <c r="U196"/>
      <c r="V196"/>
      <c r="W196"/>
      <c r="X196"/>
      <c r="Y196"/>
    </row>
    <row r="197" spans="2:25" s="7" customFormat="1" x14ac:dyDescent="0.25">
      <c r="B197" s="18"/>
      <c r="C197" s="18"/>
      <c r="D197" s="18"/>
      <c r="F197" s="174"/>
      <c r="H197"/>
      <c r="I197"/>
      <c r="J197"/>
      <c r="K197"/>
      <c r="L197"/>
      <c r="M197"/>
      <c r="N197"/>
      <c r="O197"/>
      <c r="P197"/>
      <c r="Q197"/>
      <c r="R197"/>
      <c r="S197"/>
      <c r="T197"/>
      <c r="U197"/>
      <c r="V197"/>
      <c r="W197"/>
      <c r="X197"/>
      <c r="Y197"/>
    </row>
  </sheetData>
  <sortState xmlns:xlrd2="http://schemas.microsoft.com/office/spreadsheetml/2017/richdata2" ref="J81:J92">
    <sortCondition ref="J81"/>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8">
    <tabColor theme="4" tint="0.59999389629810485"/>
  </sheetPr>
  <dimension ref="A1:V12"/>
  <sheetViews>
    <sheetView zoomScaleNormal="100" workbookViewId="0"/>
  </sheetViews>
  <sheetFormatPr defaultColWidth="9.140625" defaultRowHeight="15" x14ac:dyDescent="0.25"/>
  <cols>
    <col min="1" max="1" width="6.42578125" style="193" customWidth="1"/>
    <col min="2" max="2" width="9.28515625" style="285" customWidth="1"/>
    <col min="3" max="4" width="9.140625" style="193" customWidth="1"/>
    <col min="5" max="5" width="3.7109375" style="193" customWidth="1"/>
    <col min="6" max="6" width="9.140625" style="193" customWidth="1"/>
    <col min="7" max="7" width="3.7109375" style="193" customWidth="1"/>
    <col min="8" max="16" width="9.140625" style="193" customWidth="1"/>
    <col min="17" max="17" width="3.7109375" style="193" customWidth="1"/>
    <col min="18" max="19" width="9.140625" style="193" customWidth="1"/>
    <col min="20" max="20" width="4.42578125" style="193" customWidth="1"/>
    <col min="21" max="21" width="8.7109375" style="193" customWidth="1"/>
    <col min="22" max="22" width="5.85546875" style="193" customWidth="1"/>
    <col min="23" max="23" width="4.5703125" style="193" customWidth="1"/>
    <col min="24" max="24" width="8.7109375" style="193" customWidth="1"/>
    <col min="25" max="16384" width="9.140625" style="193"/>
  </cols>
  <sheetData>
    <row r="1" spans="1:22" s="219" customFormat="1" ht="36" customHeight="1" x14ac:dyDescent="0.25">
      <c r="A1" s="211" t="s">
        <v>34</v>
      </c>
      <c r="B1" s="296" t="s">
        <v>132</v>
      </c>
      <c r="Q1" s="217"/>
      <c r="V1" s="220" t="str">
        <f>'Beregn HF'!O1</f>
        <v xml:space="preserve"> </v>
      </c>
    </row>
    <row r="2" spans="1:22" ht="24.95" customHeight="1" x14ac:dyDescent="0.25">
      <c r="C2" s="286"/>
      <c r="D2" s="286"/>
      <c r="F2" s="286"/>
      <c r="H2" s="286"/>
      <c r="I2" s="286"/>
      <c r="J2" s="286"/>
      <c r="K2" s="286"/>
      <c r="L2" s="286"/>
      <c r="M2" s="286"/>
      <c r="N2" s="286"/>
      <c r="O2" s="286"/>
      <c r="P2" s="286"/>
      <c r="Q2" s="286"/>
      <c r="R2" s="286"/>
      <c r="S2" s="286"/>
    </row>
    <row r="3" spans="1:22" s="287" customFormat="1" ht="24.95" customHeight="1" x14ac:dyDescent="0.25">
      <c r="C3" s="524" t="s">
        <v>86</v>
      </c>
      <c r="D3" s="525"/>
      <c r="F3" s="299" t="s">
        <v>57</v>
      </c>
      <c r="H3" s="225" t="s">
        <v>31</v>
      </c>
      <c r="I3" s="266"/>
      <c r="J3" s="266"/>
      <c r="K3" s="266"/>
      <c r="L3" s="266"/>
      <c r="M3" s="266"/>
      <c r="N3" s="266"/>
      <c r="O3" s="266"/>
      <c r="P3" s="267"/>
      <c r="R3" s="332" t="s">
        <v>10</v>
      </c>
      <c r="U3" s="299" t="s">
        <v>32</v>
      </c>
    </row>
    <row r="5" spans="1:22" ht="48" customHeight="1" x14ac:dyDescent="0.25">
      <c r="B5" s="288" t="s">
        <v>1</v>
      </c>
      <c r="C5" s="289">
        <f>IF(C8=3,1,0)</f>
        <v>0</v>
      </c>
      <c r="D5" s="289">
        <f>IF(D8=3,1,0)</f>
        <v>0</v>
      </c>
      <c r="E5" s="290"/>
      <c r="F5" s="289"/>
      <c r="G5" s="290"/>
      <c r="H5" s="289">
        <f>IF(H10=-1,-1,(IF(H8=3,1,0)))</f>
        <v>1</v>
      </c>
      <c r="I5" s="289">
        <f>IF(I10=-1,-1,(IF(I8=3,1,0)))</f>
        <v>0</v>
      </c>
      <c r="J5" s="289"/>
      <c r="K5" s="289"/>
      <c r="L5" s="289"/>
      <c r="M5" s="289"/>
      <c r="N5" s="289"/>
      <c r="O5" s="289"/>
      <c r="P5" s="289"/>
      <c r="Q5" s="289"/>
      <c r="R5" s="290"/>
      <c r="S5" s="290"/>
      <c r="T5" s="290"/>
      <c r="U5" s="291">
        <f>IF(U10=-1,-1,IF(U8=3,1,0))</f>
        <v>0</v>
      </c>
      <c r="V5" s="292"/>
    </row>
    <row r="6" spans="1:22" ht="48" customHeight="1" x14ac:dyDescent="0.25">
      <c r="B6" s="288" t="s">
        <v>6</v>
      </c>
      <c r="C6" s="289">
        <f>IF(C8=3,1,IF(C8=2,1,0))</f>
        <v>0</v>
      </c>
      <c r="D6" s="289">
        <f>IF(D8=3,1,IF(D8=2,1,0))</f>
        <v>0</v>
      </c>
      <c r="E6" s="290"/>
      <c r="F6" s="289"/>
      <c r="G6" s="290"/>
      <c r="H6" s="289">
        <f>IF(H10=-1,-1,(IF(H8=3,1,IF(H8=2,1,0))))</f>
        <v>1</v>
      </c>
      <c r="I6" s="289">
        <f>IF(I10=-1,-1,(IF(I8=3,1,IF(I8=2,1,0))))</f>
        <v>1</v>
      </c>
      <c r="J6" s="289">
        <f>IF(J10=-1,-1,(IF(J8=3,1,IF(J8=2,1,0))))</f>
        <v>1</v>
      </c>
      <c r="K6" s="289"/>
      <c r="L6" s="289"/>
      <c r="M6" s="289"/>
      <c r="N6" s="289"/>
      <c r="O6" s="289"/>
      <c r="P6" s="289"/>
      <c r="Q6" s="289"/>
      <c r="R6" s="289">
        <f>IF(R10=-1,-1,IF(R8=3,1,IF(R8=2,1,0)))</f>
        <v>0</v>
      </c>
      <c r="S6" s="290"/>
      <c r="T6" s="290"/>
      <c r="U6" s="289">
        <f>IF(U10=-1,-1,IF(U8=3,1,IF(U8=2,1,0)))</f>
        <v>0</v>
      </c>
      <c r="V6" s="289"/>
    </row>
    <row r="7" spans="1:22" ht="48" customHeight="1" x14ac:dyDescent="0.25">
      <c r="B7" s="288" t="s">
        <v>4</v>
      </c>
      <c r="C7" s="289">
        <f>IF(C8=3,1,IF(C8=2,1,IF(C8=1,1,0)))</f>
        <v>0</v>
      </c>
      <c r="D7" s="289">
        <f>IF(D10=-1,-1,IF(D8=3,1,IF(D8=2,1,IF(D8=1,1,0))))</f>
        <v>0</v>
      </c>
      <c r="E7" s="290"/>
      <c r="F7" s="289">
        <f>IF(F10=-1,-1,IF(F8=3,1,IF(F8=2,1,IF(F8=1,1,0))))</f>
        <v>0</v>
      </c>
      <c r="G7" s="290"/>
      <c r="H7" s="289">
        <f t="shared" ref="H7:P7" si="0">IF(H10=-1,-1,(IF(H8=3,1,IF(H8=2,1,IF(H8=1,1,0)))))</f>
        <v>1</v>
      </c>
      <c r="I7" s="289">
        <f t="shared" si="0"/>
        <v>1</v>
      </c>
      <c r="J7" s="289">
        <f>IF(J10=-1,-1,(IF(J8=3,1,IF(J8=2,1,IF(J8=1,1,0)))))</f>
        <v>1</v>
      </c>
      <c r="K7" s="289">
        <f t="shared" si="0"/>
        <v>1</v>
      </c>
      <c r="L7" s="289">
        <f t="shared" si="0"/>
        <v>1</v>
      </c>
      <c r="M7" s="289">
        <f t="shared" si="0"/>
        <v>1</v>
      </c>
      <c r="N7" s="289">
        <f>IF(N10=-1,-1,(IF(N8=3,1,IF(N8=2,1,IF(N8=1,1,0)))))</f>
        <v>1</v>
      </c>
      <c r="O7" s="289">
        <f t="shared" si="0"/>
        <v>1</v>
      </c>
      <c r="P7" s="289">
        <f t="shared" si="0"/>
        <v>1</v>
      </c>
      <c r="Q7" s="289"/>
      <c r="R7" s="289">
        <f>IF(R10=-1,-1,IF(R8=3,1,IF(R8=2,1,IF(R8=1,1,0))))</f>
        <v>0</v>
      </c>
      <c r="S7" s="289">
        <f>IF(S10=-1,-1,IF(S8=3,1,IF(S8=2,1,IF(S8=1,1,0))))</f>
        <v>0</v>
      </c>
      <c r="T7" s="290"/>
      <c r="U7" s="289">
        <f>IF(U10=-1,-1,IF(U8=3,1,IF(U8=2,1,IF(U8=1,1,0))))</f>
        <v>0</v>
      </c>
      <c r="V7" s="289"/>
    </row>
    <row r="8" spans="1:22" s="290" customFormat="1" x14ac:dyDescent="0.25">
      <c r="B8" s="285"/>
      <c r="C8" s="298">
        <f>IF('Data HF'!B15="A",3,IF('Data HF'!B15="B",2,IF('Data HF'!B15="C",1,0)))</f>
        <v>0</v>
      </c>
      <c r="D8" s="298">
        <f>IF('Data HF'!B16="A",3,IF('Data HF'!B16="B",2,IF('Data HF'!B16="C",1,0)))</f>
        <v>0</v>
      </c>
      <c r="E8" s="298"/>
      <c r="F8" s="298">
        <f>IF('Beregn HF'!$C17="A",3,IF('Beregn HF'!$C17="B",2,IF('Beregn HF'!$C17="C",1,0)))</f>
        <v>0</v>
      </c>
      <c r="G8" s="298"/>
      <c r="H8" s="298">
        <f>IF('Beregn HF'!$G5="A",3,IF('Beregn HF'!$G5="B",2,IF('Beregn HF'!$G5="C",1,0)))</f>
        <v>3</v>
      </c>
      <c r="I8" s="298">
        <f>IF('Beregn HF'!$G6="A",3,IF('Beregn HF'!$G6="B",2,IF('Beregn HF'!$G6="C",1,0)))</f>
        <v>2</v>
      </c>
      <c r="J8" s="298">
        <f>IF('Beregn HF'!$G7="A",3,IF('Beregn HF'!$G7="B",2,IF('Beregn HF'!$G7="C",1,0)))</f>
        <v>2</v>
      </c>
      <c r="K8" s="298">
        <f>IF('Beregn HF'!$G8="A",3,IF('Beregn HF'!$G8="B",2,IF('Beregn HF'!$G8="C",1,0)))</f>
        <v>1</v>
      </c>
      <c r="L8" s="298">
        <f>IF('Beregn HF'!$G9="A",3,IF('Beregn HF'!$G9="B",2,IF('Beregn HF'!$G9="C",1,0)))</f>
        <v>1</v>
      </c>
      <c r="M8" s="298">
        <f>IF('Beregn HF'!$G10="A",3,IF('Beregn HF'!$G10="B",2,IF('Beregn HF'!$G10="C",1,0)))</f>
        <v>1</v>
      </c>
      <c r="N8" s="298">
        <f>IF('Beregn HF'!$G11="A",3,IF('Beregn HF'!$G11="B",2,IF('Beregn HF'!$G11="C",1,0)))</f>
        <v>1</v>
      </c>
      <c r="O8" s="298">
        <f>IF('Beregn HF'!$G12="A",3,IF('Beregn HF'!$G12="B",2,IF('Beregn HF'!$G12="C",1,0)))</f>
        <v>1</v>
      </c>
      <c r="P8" s="298">
        <f>IF('Beregn HF'!$G13="A",3,IF('Beregn HF'!$G13="B",2,IF('Beregn HF'!$G13="C",1,0)))</f>
        <v>1</v>
      </c>
      <c r="Q8" s="298"/>
      <c r="R8" s="298">
        <f>IF('Data HF'!B51="A",3,IF('Data HF'!B51="B",2,IF('Data HF'!B51="C",1,0)))</f>
        <v>0</v>
      </c>
      <c r="S8" s="298"/>
      <c r="T8" s="298"/>
      <c r="U8" s="298">
        <f>IF('Data HF'!B85="A",3,IF('Data HF'!B85="B",2,IF('Data HF'!B85="C",1,0)))</f>
        <v>0</v>
      </c>
      <c r="V8" s="298"/>
    </row>
    <row r="9" spans="1:22" s="294" customFormat="1" ht="69.75" customHeight="1" x14ac:dyDescent="0.25">
      <c r="B9" s="295"/>
      <c r="C9" s="297" t="str">
        <f>'Data HF'!A15</f>
        <v xml:space="preserve"> </v>
      </c>
      <c r="D9" s="297" t="str">
        <f>'Data HF'!A16</f>
        <v xml:space="preserve"> </v>
      </c>
      <c r="F9" s="297" t="str">
        <f>IF('Data HF'!A44="VÆLG","",'Data HF'!A44)</f>
        <v/>
      </c>
      <c r="H9" s="297" t="str">
        <f>'Beregn HF'!$F5</f>
        <v>Dansk</v>
      </c>
      <c r="I9" s="297" t="str">
        <f>'Beregn HF'!$F6</f>
        <v>Engelsk</v>
      </c>
      <c r="J9" s="297" t="str">
        <f>'Beregn HF'!$F7</f>
        <v>Historie</v>
      </c>
      <c r="K9" s="297" t="str">
        <f>'Beregn HF'!$F8</f>
        <v>Biologi</v>
      </c>
      <c r="L9" s="297" t="str">
        <f>'Beregn HF'!$F9</f>
        <v>Geografi</v>
      </c>
      <c r="M9" s="297" t="str">
        <f>'Beregn HF'!$F10</f>
        <v>Kemi</v>
      </c>
      <c r="N9" s="297" t="str">
        <f>'Beregn HF'!$F11</f>
        <v>Matematik</v>
      </c>
      <c r="O9" s="297" t="str">
        <f>'Beregn HF'!$F12</f>
        <v>Religion</v>
      </c>
      <c r="P9" s="297" t="str">
        <f>'Beregn HF'!$F13</f>
        <v>Samfundsfag</v>
      </c>
      <c r="R9" s="297" t="str">
        <f>IF('Data HF'!A51="VÆLG","",'Data HF'!A51)</f>
        <v/>
      </c>
      <c r="S9" s="297"/>
      <c r="T9" s="297"/>
      <c r="U9" s="297" t="str">
        <f>IF('Data HF'!A85="VÆLG","",'Data HF'!A85)</f>
        <v/>
      </c>
      <c r="V9" s="297"/>
    </row>
    <row r="10" spans="1:22" s="290" customFormat="1" ht="19.5" customHeight="1" x14ac:dyDescent="0.25">
      <c r="B10" s="285"/>
      <c r="C10" s="293"/>
      <c r="D10" s="298">
        <f>IF('Data HF'!$D123=0,-1,0)</f>
        <v>0</v>
      </c>
      <c r="E10" s="272"/>
      <c r="F10" s="272">
        <f>IF('Data HF'!A142="",0,IF('Data HF'!$D142=0,-1,0))</f>
        <v>0</v>
      </c>
      <c r="G10" s="272"/>
      <c r="H10" s="272">
        <f>IF('Data HF'!$D133=0,-1,0)</f>
        <v>0</v>
      </c>
      <c r="I10" s="272">
        <f>IF('Data HF'!$D134=0,-1,0)</f>
        <v>0</v>
      </c>
      <c r="J10" s="272">
        <f>IF('Data HF'!$D135=0,-1,0)</f>
        <v>0</v>
      </c>
      <c r="K10" s="272">
        <f>IF('Data HF'!$D136=0,-1,0)</f>
        <v>0</v>
      </c>
      <c r="L10" s="272">
        <f>IF('Data HF'!$D137=0,-1,0)</f>
        <v>0</v>
      </c>
      <c r="M10" s="272">
        <f>IF('Data HF'!$D138=0,-1,0)</f>
        <v>0</v>
      </c>
      <c r="N10" s="272">
        <f>IF('Data HF'!$D139=0,-1,0)</f>
        <v>0</v>
      </c>
      <c r="O10" s="272">
        <f>IF('Data HF'!$D140=0,-1,0)</f>
        <v>0</v>
      </c>
      <c r="P10" s="272">
        <f>IF('Data HF'!$D141=0,-1,0)</f>
        <v>0</v>
      </c>
      <c r="Q10" s="298"/>
      <c r="R10" s="272">
        <f>IF('Data HF'!A128="",0,IF('Data HF'!$D128=0,-1,0))</f>
        <v>0</v>
      </c>
      <c r="S10" s="272"/>
      <c r="T10" s="298"/>
      <c r="U10" s="298">
        <f>IF(U9="",0,IF(U9=V9,-1,0))</f>
        <v>0</v>
      </c>
      <c r="V10" s="298"/>
    </row>
    <row r="11" spans="1:22" ht="24.95" customHeight="1" x14ac:dyDescent="0.25">
      <c r="C11" s="225" t="s">
        <v>99</v>
      </c>
      <c r="D11" s="267"/>
      <c r="E11" s="529" t="str">
        <f>'Data HF'!A6</f>
        <v>VÆLG</v>
      </c>
      <c r="F11" s="530"/>
      <c r="G11" s="530"/>
      <c r="H11" s="530"/>
      <c r="I11" s="524" t="s">
        <v>100</v>
      </c>
      <c r="J11" s="531"/>
      <c r="K11" s="532" t="str">
        <f>'Beregn HF'!J22</f>
        <v/>
      </c>
      <c r="L11" s="530"/>
      <c r="M11" s="530"/>
      <c r="N11" s="533"/>
      <c r="O11" s="524" t="s">
        <v>71</v>
      </c>
      <c r="P11" s="525"/>
      <c r="Q11" s="534" t="str">
        <f>'Data HF'!A44</f>
        <v>VÆLG</v>
      </c>
      <c r="R11" s="535"/>
      <c r="S11" s="526" t="s">
        <v>109</v>
      </c>
      <c r="T11" s="527"/>
      <c r="U11" s="527"/>
      <c r="V11" s="528"/>
    </row>
    <row r="12" spans="1:22" x14ac:dyDescent="0.25">
      <c r="J12" s="286"/>
      <c r="K12" s="286"/>
      <c r="L12" s="286"/>
      <c r="M12" s="286"/>
      <c r="N12" s="286"/>
      <c r="O12" s="286"/>
      <c r="P12" s="286"/>
      <c r="Q12" s="286"/>
    </row>
  </sheetData>
  <sheetProtection algorithmName="SHA-512" hashValue="jFqhJQ4nw+Syo2X9BB6LrE05/SNN/mFzFAyENsKXwhVAW9G17+DRNLyG/cjuFAc23hKyPrdq+uxmAJq/se1v0Q==" saltValue="hRoChT/oSIK/jCBs9j+p8Q==" spinCount="100000" sheet="1" objects="1" scenarios="1"/>
  <mergeCells count="7">
    <mergeCell ref="C3:D3"/>
    <mergeCell ref="S11:V11"/>
    <mergeCell ref="E11:H11"/>
    <mergeCell ref="I11:J11"/>
    <mergeCell ref="K11:N11"/>
    <mergeCell ref="O11:P11"/>
    <mergeCell ref="Q11:R11"/>
  </mergeCells>
  <conditionalFormatting sqref="R5">
    <cfRule type="cellIs" dxfId="29" priority="34" operator="greaterThan">
      <formula>0</formula>
    </cfRule>
  </conditionalFormatting>
  <conditionalFormatting sqref="S6">
    <cfRule type="cellIs" dxfId="28" priority="32" operator="greaterThan">
      <formula>0</formula>
    </cfRule>
    <cfRule type="cellIs" dxfId="27" priority="33" operator="greaterThan">
      <formula>1</formula>
    </cfRule>
  </conditionalFormatting>
  <conditionalFormatting sqref="S5">
    <cfRule type="cellIs" dxfId="26" priority="31" operator="greaterThan">
      <formula>0</formula>
    </cfRule>
  </conditionalFormatting>
  <conditionalFormatting sqref="S5:S6">
    <cfRule type="cellIs" dxfId="25" priority="29" operator="greaterThan">
      <formula>0</formula>
    </cfRule>
    <cfRule type="cellIs" dxfId="24" priority="30" operator="greaterThan">
      <formula>0</formula>
    </cfRule>
  </conditionalFormatting>
  <conditionalFormatting sqref="U5">
    <cfRule type="cellIs" dxfId="23" priority="7" operator="greaterThan">
      <formula>0</formula>
    </cfRule>
  </conditionalFormatting>
  <conditionalFormatting sqref="V5">
    <cfRule type="cellIs" dxfId="22" priority="28" operator="greaterThan">
      <formula>0</formula>
    </cfRule>
  </conditionalFormatting>
  <conditionalFormatting sqref="N17">
    <cfRule type="cellIs" dxfId="21" priority="27" operator="greaterThan">
      <formula>0</formula>
    </cfRule>
  </conditionalFormatting>
  <conditionalFormatting sqref="N16">
    <cfRule type="cellIs" dxfId="20" priority="25" operator="greaterThan">
      <formula>0</formula>
    </cfRule>
    <cfRule type="cellIs" dxfId="19" priority="26" operator="greaterThan">
      <formula>1</formula>
    </cfRule>
  </conditionalFormatting>
  <conditionalFormatting sqref="N15">
    <cfRule type="cellIs" dxfId="18" priority="24" operator="greaterThan">
      <formula>0</formula>
    </cfRule>
  </conditionalFormatting>
  <conditionalFormatting sqref="N15:N17">
    <cfRule type="cellIs" dxfId="17" priority="21" operator="equal">
      <formula>-1</formula>
    </cfRule>
    <cfRule type="cellIs" dxfId="16" priority="22" operator="greaterThan">
      <formula>0</formula>
    </cfRule>
    <cfRule type="cellIs" dxfId="15" priority="23" operator="greaterThan">
      <formula>0</formula>
    </cfRule>
  </conditionalFormatting>
  <conditionalFormatting sqref="U6:U7 H5:Q7 F5:F7 R7:S7 D7">
    <cfRule type="cellIs" dxfId="14" priority="20" operator="equal">
      <formula>-1</formula>
    </cfRule>
  </conditionalFormatting>
  <conditionalFormatting sqref="H7:Q7">
    <cfRule type="cellIs" dxfId="13" priority="19" operator="greaterThan">
      <formula>0</formula>
    </cfRule>
  </conditionalFormatting>
  <conditionalFormatting sqref="H6:Q6 F6">
    <cfRule type="cellIs" dxfId="12" priority="18" operator="greaterThan">
      <formula>0</formula>
    </cfRule>
  </conditionalFormatting>
  <conditionalFormatting sqref="H5:Q5 F5">
    <cfRule type="cellIs" dxfId="11" priority="17" operator="greaterThan">
      <formula>0</formula>
    </cfRule>
  </conditionalFormatting>
  <conditionalFormatting sqref="R7:S7">
    <cfRule type="cellIs" dxfId="10" priority="16" operator="greaterThan">
      <formula>0</formula>
    </cfRule>
  </conditionalFormatting>
  <conditionalFormatting sqref="U7:V7">
    <cfRule type="cellIs" dxfId="9" priority="15" operator="greaterThan">
      <formula>0</formula>
    </cfRule>
  </conditionalFormatting>
  <conditionalFormatting sqref="U6:V6">
    <cfRule type="cellIs" dxfId="8" priority="14" operator="greaterThan">
      <formula>0</formula>
    </cfRule>
  </conditionalFormatting>
  <conditionalFormatting sqref="C7:D7">
    <cfRule type="cellIs" dxfId="7" priority="10" operator="greaterThan">
      <formula>0</formula>
    </cfRule>
  </conditionalFormatting>
  <conditionalFormatting sqref="C6:D6">
    <cfRule type="cellIs" dxfId="6" priority="9" operator="greaterThan">
      <formula>0</formula>
    </cfRule>
  </conditionalFormatting>
  <conditionalFormatting sqref="C5:D5">
    <cfRule type="cellIs" dxfId="5" priority="8" operator="greaterThan">
      <formula>0</formula>
    </cfRule>
  </conditionalFormatting>
  <conditionalFormatting sqref="D6:E7 G6:P7">
    <cfRule type="cellIs" dxfId="4" priority="6" operator="equal">
      <formula>-1</formula>
    </cfRule>
  </conditionalFormatting>
  <conditionalFormatting sqref="F7">
    <cfRule type="cellIs" dxfId="3" priority="5" operator="greaterThan">
      <formula>0</formula>
    </cfRule>
  </conditionalFormatting>
  <conditionalFormatting sqref="F7">
    <cfRule type="cellIs" dxfId="2" priority="4" operator="equal">
      <formula>-1</formula>
    </cfRule>
  </conditionalFormatting>
  <conditionalFormatting sqref="U6:U7 R7:S7">
    <cfRule type="cellIs" dxfId="1" priority="2" operator="equal">
      <formula>-1</formula>
    </cfRule>
  </conditionalFormatting>
  <conditionalFormatting sqref="R6">
    <cfRule type="cellIs" dxfId="0" priority="1" operator="greaterThan">
      <formula>0</formula>
    </cfRule>
  </conditionalFormatting>
  <hyperlinks>
    <hyperlink ref="S11" location="'Beregn studieretning'!A1" display="'Beregn studieretning'!A1" xr:uid="{00000000-0004-0000-0600-000000000000}"/>
    <hyperlink ref="A1" location="Index!A1" display="Home" xr:uid="{00000000-0004-0000-0600-000001000000}"/>
    <hyperlink ref="S11:V11" location="'Beregn HF'!A1" display="&gt;&gt; Tilbage til HF beregning &lt;&lt;" xr:uid="{D7CA5BA9-08EC-47BA-86A8-23F7E87FCABA}"/>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1</vt:i4>
      </vt:variant>
    </vt:vector>
  </HeadingPairs>
  <TitlesOfParts>
    <vt:vector size="8" baseType="lpstr">
      <vt:lpstr>Index</vt:lpstr>
      <vt:lpstr>Beregn stx</vt:lpstr>
      <vt:lpstr>Grafik stx</vt:lpstr>
      <vt:lpstr>Data stx</vt:lpstr>
      <vt:lpstr>Beregn HF</vt:lpstr>
      <vt:lpstr>Data HF</vt:lpstr>
      <vt:lpstr>Grafik HF</vt:lpstr>
      <vt:lpstr>Adgangskortet</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sign5932@slagelse-gym.dk</dc:creator>
  <cp:lastModifiedBy>Signe Gjerlufsen</cp:lastModifiedBy>
  <cp:lastPrinted>2017-09-08T07:14:37Z</cp:lastPrinted>
  <dcterms:created xsi:type="dcterms:W3CDTF">2013-08-30T18:59:04Z</dcterms:created>
  <dcterms:modified xsi:type="dcterms:W3CDTF">2020-09-14T13:00:34Z</dcterms:modified>
</cp:coreProperties>
</file>